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atafood.sharepoint.com/sites/Pajuarvoketjuistauuttaliiketoimintaa/Jaetut asiakirjat/Tuotokset ja julkaisut/Kannattavuuslaskelmat/"/>
    </mc:Choice>
  </mc:AlternateContent>
  <xr:revisionPtr revIDLastSave="586" documentId="8_{AC5EAB0B-55D6-4E53-8B19-9BA550B9C680}" xr6:coauthVersionLast="47" xr6:coauthVersionMax="47" xr10:uidLastSave="{E9C9A584-0D40-448D-A44A-3A117B9AE775}"/>
  <bookViews>
    <workbookView xWindow="-38520" yWindow="-120" windowWidth="38640" windowHeight="21120" tabRatio="799" activeTab="1" xr2:uid="{00000000-000D-0000-FFFF-FFFF00000000}"/>
  </bookViews>
  <sheets>
    <sheet name="Ohje työkirjan käyttöön" sheetId="23" r:id="rId1"/>
    <sheet name="Kassavirta_kuivike" sheetId="21" r:id="rId2"/>
    <sheet name="Kuvaaja kassavirta" sheetId="22" r:id="rId3"/>
    <sheet name="Lähtötiedot_kustannukset" sheetId="3" r:id="rId4"/>
    <sheet name="Lähtötiedot_tuotot" sheetId="2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0" l="1"/>
  <c r="B16" i="20"/>
  <c r="B17" i="20"/>
  <c r="Y34" i="21"/>
  <c r="X34" i="21"/>
  <c r="W34" i="21"/>
  <c r="V34" i="21"/>
  <c r="U34" i="21"/>
  <c r="T34" i="21"/>
  <c r="S34" i="21"/>
  <c r="R34" i="21"/>
  <c r="Q34" i="21"/>
  <c r="P34" i="21"/>
  <c r="O34" i="21"/>
  <c r="N34" i="21"/>
  <c r="M34" i="21"/>
  <c r="L34" i="21"/>
  <c r="K34" i="21"/>
  <c r="J34" i="21"/>
  <c r="I34" i="21"/>
  <c r="H34" i="21"/>
  <c r="G34" i="21"/>
  <c r="F34" i="21"/>
  <c r="C6" i="20"/>
  <c r="D6" i="20" s="1"/>
  <c r="B17" i="21"/>
  <c r="B10" i="20" l="1"/>
  <c r="B12" i="20"/>
  <c r="B18" i="20" s="1"/>
  <c r="B44" i="21"/>
  <c r="F25" i="21"/>
  <c r="E25" i="21"/>
  <c r="D25" i="21"/>
  <c r="C25" i="21"/>
  <c r="E19" i="21"/>
  <c r="E18" i="21"/>
  <c r="E17" i="21"/>
  <c r="E24" i="21"/>
  <c r="E23" i="21"/>
  <c r="D24" i="21"/>
  <c r="D23" i="21"/>
  <c r="D19" i="21"/>
  <c r="D18" i="21"/>
  <c r="D17" i="21"/>
  <c r="C24" i="21"/>
  <c r="C23" i="21"/>
  <c r="C19" i="21"/>
  <c r="C18" i="21"/>
  <c r="C17" i="21"/>
  <c r="B24" i="21"/>
  <c r="B23" i="21"/>
  <c r="B19" i="21"/>
  <c r="B18" i="21"/>
  <c r="E44" i="21"/>
  <c r="E50" i="21" s="1"/>
  <c r="D44" i="21"/>
  <c r="D50" i="21" s="1"/>
  <c r="C44" i="21"/>
  <c r="C50" i="21" s="1"/>
  <c r="B50" i="21" l="1"/>
  <c r="Y37" i="21" l="1"/>
  <c r="X37" i="21"/>
  <c r="W37" i="21"/>
  <c r="S37" i="21"/>
  <c r="Q37" i="21"/>
  <c r="O37" i="21"/>
  <c r="N37" i="21"/>
  <c r="K37" i="21"/>
  <c r="I37" i="21"/>
  <c r="G37" i="21"/>
  <c r="F37" i="21"/>
  <c r="V37" i="21"/>
  <c r="U37" i="21"/>
  <c r="T37" i="21"/>
  <c r="R37" i="21"/>
  <c r="P37" i="21"/>
  <c r="M37" i="21"/>
  <c r="L37" i="21"/>
  <c r="J37" i="21"/>
  <c r="H37" i="21"/>
  <c r="N27" i="21" l="1"/>
  <c r="L27" i="21"/>
  <c r="G27" i="21"/>
  <c r="U27" i="21"/>
  <c r="S27" i="21"/>
  <c r="Q27" i="21"/>
  <c r="M27" i="21"/>
  <c r="K27" i="21"/>
  <c r="J27" i="21"/>
  <c r="I27" i="21"/>
  <c r="T27" i="21"/>
  <c r="P27" i="21"/>
  <c r="W27" i="21"/>
  <c r="Y27" i="21"/>
  <c r="V27" i="21"/>
  <c r="F27" i="21"/>
  <c r="O27" i="21"/>
  <c r="X27" i="21"/>
  <c r="H27" i="21"/>
  <c r="R27" i="21"/>
  <c r="B9" i="3" l="1"/>
  <c r="E20" i="21" l="1"/>
  <c r="B20" i="21"/>
  <c r="D20" i="21"/>
  <c r="C20" i="21"/>
  <c r="W30" i="21"/>
  <c r="V30" i="21"/>
  <c r="Y30" i="21"/>
  <c r="X30" i="21"/>
  <c r="Y32" i="21" l="1"/>
  <c r="X32" i="21"/>
  <c r="W32" i="21"/>
  <c r="D32" i="21"/>
  <c r="C32" i="21"/>
  <c r="V32" i="21"/>
  <c r="T32" i="21"/>
  <c r="S32" i="21"/>
  <c r="R32" i="21"/>
  <c r="O32" i="21"/>
  <c r="L32" i="21"/>
  <c r="K32" i="21"/>
  <c r="H32" i="21"/>
  <c r="G32" i="21"/>
  <c r="E32" i="21"/>
  <c r="B32" i="21"/>
  <c r="M32" i="21"/>
  <c r="I32" i="21"/>
  <c r="U32" i="21"/>
  <c r="Q32" i="21"/>
  <c r="N32" i="21"/>
  <c r="J32" i="21"/>
  <c r="F32" i="21"/>
  <c r="P32" i="21"/>
  <c r="Y43" i="21" l="1"/>
  <c r="Y49" i="21" s="1"/>
  <c r="B43" i="21"/>
  <c r="B49" i="21" s="1"/>
  <c r="B46" i="21"/>
  <c r="B47" i="21" s="1"/>
  <c r="B45" i="21"/>
  <c r="B52" i="21" s="1"/>
  <c r="B53" i="21" s="1"/>
  <c r="B54" i="21" s="1"/>
  <c r="B20" i="3"/>
  <c r="Q59" i="3"/>
  <c r="X28" i="21" l="1"/>
  <c r="V28" i="21"/>
  <c r="U28" i="21"/>
  <c r="T28" i="21"/>
  <c r="S28" i="21"/>
  <c r="R28" i="21"/>
  <c r="Q28" i="21"/>
  <c r="P28" i="21"/>
  <c r="O28" i="21"/>
  <c r="N28" i="21"/>
  <c r="M28" i="21"/>
  <c r="L28" i="21"/>
  <c r="K28" i="21"/>
  <c r="J28" i="21"/>
  <c r="I28" i="21"/>
  <c r="H28" i="21"/>
  <c r="G28" i="21"/>
  <c r="F28" i="21"/>
  <c r="F21" i="21"/>
  <c r="E21" i="21"/>
  <c r="D21" i="21"/>
  <c r="W28" i="21"/>
  <c r="C21" i="21"/>
  <c r="H44" i="21"/>
  <c r="H50" i="21" s="1"/>
  <c r="I44" i="21"/>
  <c r="I50" i="21" s="1"/>
  <c r="G44" i="21"/>
  <c r="G50" i="21" s="1"/>
  <c r="M44" i="21"/>
  <c r="M50" i="21" s="1"/>
  <c r="P44" i="21"/>
  <c r="P50" i="21" s="1"/>
  <c r="Y44" i="21"/>
  <c r="Y50" i="21" s="1"/>
  <c r="Y45" i="21"/>
  <c r="Y52" i="21" s="1"/>
  <c r="T44" i="21"/>
  <c r="T50" i="21" s="1"/>
  <c r="S44" i="21"/>
  <c r="S50" i="21" s="1"/>
  <c r="U44" i="21"/>
  <c r="U50" i="21" s="1"/>
  <c r="X44" i="21"/>
  <c r="X50" i="21" s="1"/>
  <c r="V44" i="21"/>
  <c r="V50" i="21" s="1"/>
  <c r="O44" i="21"/>
  <c r="O50" i="21" s="1"/>
  <c r="L44" i="21"/>
  <c r="L50" i="21" s="1"/>
  <c r="Z37" i="21"/>
  <c r="F44" i="21"/>
  <c r="Q44" i="21"/>
  <c r="Q50" i="21" s="1"/>
  <c r="R44" i="21"/>
  <c r="R50" i="21" s="1"/>
  <c r="N44" i="21"/>
  <c r="N50" i="21" s="1"/>
  <c r="W44" i="21"/>
  <c r="W50" i="21" s="1"/>
  <c r="K44" i="21"/>
  <c r="K50" i="21" s="1"/>
  <c r="J44" i="21"/>
  <c r="J50" i="21" s="1"/>
  <c r="S43" i="21" l="1"/>
  <c r="S49" i="21" s="1"/>
  <c r="S45" i="21"/>
  <c r="S52" i="21" s="1"/>
  <c r="R43" i="21"/>
  <c r="R49" i="21" s="1"/>
  <c r="R45" i="21"/>
  <c r="R52" i="21" s="1"/>
  <c r="Q43" i="21"/>
  <c r="Q49" i="21" s="1"/>
  <c r="Q45" i="21"/>
  <c r="Q52" i="21" s="1"/>
  <c r="K43" i="21"/>
  <c r="K49" i="21" s="1"/>
  <c r="K45" i="21"/>
  <c r="K52" i="21" s="1"/>
  <c r="P43" i="21"/>
  <c r="P49" i="21" s="1"/>
  <c r="P45" i="21"/>
  <c r="P52" i="21" s="1"/>
  <c r="O43" i="21"/>
  <c r="O49" i="21" s="1"/>
  <c r="O45" i="21"/>
  <c r="O52" i="21" s="1"/>
  <c r="N43" i="21"/>
  <c r="N49" i="21" s="1"/>
  <c r="N45" i="21"/>
  <c r="N52" i="21" s="1"/>
  <c r="J43" i="21"/>
  <c r="J49" i="21" s="1"/>
  <c r="J45" i="21"/>
  <c r="J52" i="21" s="1"/>
  <c r="W43" i="21"/>
  <c r="W49" i="21" s="1"/>
  <c r="W45" i="21"/>
  <c r="W52" i="21" s="1"/>
  <c r="M43" i="21"/>
  <c r="M49" i="21" s="1"/>
  <c r="M45" i="21"/>
  <c r="M52" i="21" s="1"/>
  <c r="L43" i="21"/>
  <c r="L49" i="21" s="1"/>
  <c r="L45" i="21"/>
  <c r="L52" i="21" s="1"/>
  <c r="I43" i="21"/>
  <c r="I49" i="21" s="1"/>
  <c r="I45" i="21"/>
  <c r="I52" i="21" s="1"/>
  <c r="G43" i="21"/>
  <c r="G49" i="21" s="1"/>
  <c r="G45" i="21"/>
  <c r="F43" i="21"/>
  <c r="F49" i="21" s="1"/>
  <c r="F45" i="21"/>
  <c r="E43" i="21"/>
  <c r="E49" i="21" s="1"/>
  <c r="E45" i="21"/>
  <c r="E52" i="21" s="1"/>
  <c r="D43" i="21"/>
  <c r="D49" i="21" s="1"/>
  <c r="D45" i="21"/>
  <c r="D52" i="21" s="1"/>
  <c r="C43" i="21"/>
  <c r="C46" i="21"/>
  <c r="C45" i="21"/>
  <c r="X43" i="21"/>
  <c r="X49" i="21" s="1"/>
  <c r="X45" i="21"/>
  <c r="X52" i="21" s="1"/>
  <c r="V43" i="21"/>
  <c r="V49" i="21" s="1"/>
  <c r="V45" i="21"/>
  <c r="V52" i="21" s="1"/>
  <c r="U43" i="21"/>
  <c r="U49" i="21" s="1"/>
  <c r="U45" i="21"/>
  <c r="U52" i="21" s="1"/>
  <c r="T43" i="21"/>
  <c r="T49" i="21" s="1"/>
  <c r="T45" i="21"/>
  <c r="T52" i="21" s="1"/>
  <c r="H43" i="21"/>
  <c r="H49" i="21" s="1"/>
  <c r="H45" i="21"/>
  <c r="H52" i="21" s="1"/>
  <c r="F50" i="21"/>
  <c r="Z50" i="21" s="1"/>
  <c r="Z44" i="21"/>
  <c r="F52" i="21" l="1"/>
  <c r="B9" i="21"/>
  <c r="G52" i="21"/>
  <c r="Z45" i="21"/>
  <c r="Z43" i="21"/>
  <c r="C49" i="21"/>
  <c r="Z49" i="21" s="1"/>
  <c r="C47" i="21"/>
  <c r="D46" i="21"/>
  <c r="C52" i="21"/>
  <c r="B8" i="21"/>
  <c r="C53" i="21" l="1"/>
  <c r="Z52" i="21"/>
  <c r="D47" i="21"/>
  <c r="E46" i="21"/>
  <c r="D53" i="21" l="1"/>
  <c r="C54" i="21"/>
  <c r="F46" i="21"/>
  <c r="E47" i="21"/>
  <c r="E53" i="21" l="1"/>
  <c r="D54" i="21"/>
  <c r="F47" i="21"/>
  <c r="G46" i="21"/>
  <c r="E54" i="21" l="1"/>
  <c r="F53" i="21"/>
  <c r="G47" i="21"/>
  <c r="H46" i="21"/>
  <c r="G53" i="21" l="1"/>
  <c r="F54" i="21"/>
  <c r="H47" i="21"/>
  <c r="I46" i="21"/>
  <c r="H53" i="21" l="1"/>
  <c r="G54" i="21"/>
  <c r="I47" i="21"/>
  <c r="J46" i="21"/>
  <c r="I53" i="21" l="1"/>
  <c r="H54" i="21"/>
  <c r="K46" i="21"/>
  <c r="J47" i="21"/>
  <c r="J53" i="21" l="1"/>
  <c r="I54" i="21"/>
  <c r="K47" i="21"/>
  <c r="L46" i="21"/>
  <c r="J54" i="21" l="1"/>
  <c r="K53" i="21"/>
  <c r="L47" i="21"/>
  <c r="M46" i="21"/>
  <c r="L53" i="21" l="1"/>
  <c r="K54" i="21"/>
  <c r="M47" i="21"/>
  <c r="N46" i="21"/>
  <c r="M53" i="21" l="1"/>
  <c r="L54" i="21"/>
  <c r="N47" i="21"/>
  <c r="O46" i="21"/>
  <c r="N53" i="21" l="1"/>
  <c r="M54" i="21"/>
  <c r="O47" i="21"/>
  <c r="P46" i="21"/>
  <c r="O53" i="21" l="1"/>
  <c r="N54" i="21"/>
  <c r="P47" i="21"/>
  <c r="Q46" i="21"/>
  <c r="P53" i="21" l="1"/>
  <c r="O54" i="21"/>
  <c r="Q47" i="21"/>
  <c r="R46" i="21"/>
  <c r="Q53" i="21" l="1"/>
  <c r="P54" i="21"/>
  <c r="R47" i="21"/>
  <c r="S46" i="21"/>
  <c r="R53" i="21" l="1"/>
  <c r="Q54" i="21"/>
  <c r="S47" i="21"/>
  <c r="T46" i="21"/>
  <c r="S53" i="21" l="1"/>
  <c r="R54" i="21"/>
  <c r="T47" i="21"/>
  <c r="U46" i="21"/>
  <c r="T53" i="21" l="1"/>
  <c r="S54" i="21"/>
  <c r="U47" i="21"/>
  <c r="V46" i="21"/>
  <c r="U53" i="21" l="1"/>
  <c r="T54" i="21"/>
  <c r="V47" i="21"/>
  <c r="W46" i="21"/>
  <c r="V53" i="21" l="1"/>
  <c r="U54" i="21"/>
  <c r="W47" i="21"/>
  <c r="X46" i="21"/>
  <c r="W53" i="21" l="1"/>
  <c r="B10" i="21" s="1" a="1"/>
  <c r="V54" i="21"/>
  <c r="X47" i="21"/>
  <c r="Y46" i="21"/>
  <c r="Y47" i="21" s="1"/>
  <c r="W54" i="21" l="1"/>
  <c r="X53" i="21"/>
  <c r="Y53" i="21" l="1"/>
  <c r="Y54" i="21" s="1"/>
  <c r="X54" i="2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<sst xmlns="http://schemas.openxmlformats.org/spreadsheetml/2006/main" count="180" uniqueCount="158">
  <si>
    <t>Kasvuston kemiallinen tuhoaminen (glyfosaattivalmiste 6—8 I/ha), kantojen jyrsintä</t>
  </si>
  <si>
    <t>Pajuhakkeen tehollinen lämpöarvo kuiva-aineelle</t>
  </si>
  <si>
    <t>MJ/kg ka</t>
  </si>
  <si>
    <t>Viherä-Aarnio ym. 2022</t>
  </si>
  <si>
    <t>Työvaihe</t>
  </si>
  <si>
    <t>Lähde</t>
  </si>
  <si>
    <t>Lisätietoa</t>
  </si>
  <si>
    <t>Viljelysmaan perustaminen</t>
  </si>
  <si>
    <t>Ojitus + ojarumpu</t>
  </si>
  <si>
    <t xml:space="preserve">Awuah ym. 2026 </t>
  </si>
  <si>
    <t>Maanmuokkaustyöt</t>
  </si>
  <si>
    <t>Awuah ym. 2026: soil leveling 91 €/ha</t>
  </si>
  <si>
    <t>Rikantorjunta, glyfosaatti + levitys</t>
  </si>
  <si>
    <t>Awuah ym. 2026</t>
  </si>
  <si>
    <t xml:space="preserve">Glyfosaattia 6 L/ha, hinta 21,49 €/L, levitys 22€/ha. </t>
  </si>
  <si>
    <t>Viherä-Aarnio ym. 2022 lähteessä paljon halvempi.</t>
  </si>
  <si>
    <t>pH:n nosto: tuhka (vaihtoehtoinen) + kuljetus</t>
  </si>
  <si>
    <t>Tuhka 6 tn/ha, 25 €/tn. + levityskustannus: 100€/ha / 1,5 ha/h = 67 €/ha</t>
  </si>
  <si>
    <t>Lannoitus: karjanlanta + kuljetus</t>
  </si>
  <si>
    <t>Awuah ym. 2026 ja Viherä-Aarnio ym. 2022</t>
  </si>
  <si>
    <t>pH:n nosto: kalkki + levitys</t>
  </si>
  <si>
    <t>10 tn/ha, kustannus 21 €/tn.</t>
  </si>
  <si>
    <t>Lähteessä Viherä-Aarnio ym. 2022 määrä 6 tn/ha ja kustannus 41,6 €/tn --&gt; 2 x kalliimpi, levityskustannus mukana hinnassa?</t>
  </si>
  <si>
    <t>Lannoitus: mineraalilannoitus</t>
  </si>
  <si>
    <t>Istuttaminen</t>
  </si>
  <si>
    <t>Pistokkaat</t>
  </si>
  <si>
    <t>13000 pistokasta /ha, a´hinta 0,12 €, lähde: Awuah ym. 2026 (Neovan Karhunsuon koeviljelmä)</t>
  </si>
  <si>
    <t>Lähteessä Viherä-Aarnio ym. 2022: Pistokkaat (12 800 kpl + istutus) = 2406 €/ha</t>
  </si>
  <si>
    <t>Istutustyön hinta</t>
  </si>
  <si>
    <t>Alasleikkuu</t>
  </si>
  <si>
    <t>Sadonkorjuu ja hoito</t>
  </si>
  <si>
    <t>Lannoitus sadonkorjuun jälkeen</t>
  </si>
  <si>
    <t>Lopetus</t>
  </si>
  <si>
    <t>Kasvuston kemiallinen lopetus + jyrsintä</t>
  </si>
  <si>
    <t>Muut kustannukset</t>
  </si>
  <si>
    <t>Maa-alueen kustannukset, suo: vuokra</t>
  </si>
  <si>
    <t>Tuotot</t>
  </si>
  <si>
    <t>vuotta</t>
  </si>
  <si>
    <t>€/MWh</t>
  </si>
  <si>
    <t>Vuosi</t>
  </si>
  <si>
    <t>Vaiheet viljelyn aikana</t>
  </si>
  <si>
    <t>Lohkon perustaminen</t>
  </si>
  <si>
    <t>Ojitus</t>
  </si>
  <si>
    <t>pH:n nosto: tuhka + kuljetus</t>
  </si>
  <si>
    <t>Istutus</t>
  </si>
  <si>
    <t>Istutustyö</t>
  </si>
  <si>
    <t>Lannoitus sadonkorjuun jälkeen (karjanlanta + kuljetus)</t>
  </si>
  <si>
    <t>Vuoden tulot yht.</t>
  </si>
  <si>
    <t>Kaikki tulot yhteensä</t>
  </si>
  <si>
    <t>Nettokassavirta</t>
  </si>
  <si>
    <t>nettokassavirta yht.</t>
  </si>
  <si>
    <t>Kumulatiivinen nettokassavirta</t>
  </si>
  <si>
    <t>Takaisinmaksuajan etsintä</t>
  </si>
  <si>
    <t>Diskontattu:</t>
  </si>
  <si>
    <t xml:space="preserve">Vuoden diskontatut tulot yht. </t>
  </si>
  <si>
    <t>diskontatut tulot yht.</t>
  </si>
  <si>
    <t>Diskontattu nettokassavirta</t>
  </si>
  <si>
    <t>Kumulatiivinen diskontattu kassavirta</t>
  </si>
  <si>
    <t>Diskontattu takaisinmaksuaika etsintä</t>
  </si>
  <si>
    <t>sisäinen korkokanta, kun NNA = 0, manuaalisesti haarukoimalla</t>
  </si>
  <si>
    <t>Yritysmaailmassa odotettu IRR on 16 %</t>
  </si>
  <si>
    <t>Takaisinmaksuaika</t>
  </si>
  <si>
    <t>Lähteessä Viherä-Aarnio ym. 2022 sekä Awuah ym. 2026 paljon kalliimpi: (Viherä-Aarnio ym. 2022: 370 €/ha levitysmäärällä 5 t/ha</t>
  </si>
  <si>
    <r>
      <rPr>
        <sz val="11"/>
        <rFont val="Calibri"/>
        <family val="2"/>
        <scheme val="minor"/>
      </rPr>
      <t>Lietelannan hinta 10 €/tn</t>
    </r>
    <r>
      <rPr>
        <sz val="11"/>
        <color theme="1"/>
        <rFont val="Calibri"/>
        <family val="2"/>
        <scheme val="minor"/>
      </rPr>
      <t xml:space="preserve"> (Awuah ym. 2026), määrä 30 t/ha (Suutari 2020, Kurki 2016). Kuljetus + levitys 442 €/ha 10 km päähän. Levitys multaavalla vaunulla.</t>
    </r>
  </si>
  <si>
    <t>Korjuukustannus ajosilppurilla</t>
  </si>
  <si>
    <t>Neovan Karhunsuon koeviljelmä, mukana tierumpu 57 € (kappalehinta) sekä ojitustyö 695 €/ha</t>
  </si>
  <si>
    <t>kWh/kg ka</t>
  </si>
  <si>
    <t>MWh/t ka</t>
  </si>
  <si>
    <t>Energiapuuhakkeen hinta, €/MWh</t>
  </si>
  <si>
    <t>Pajun hinta energiahakkeena, €/t ka</t>
  </si>
  <si>
    <t>Pajuhakkeen tehollinen lämpöarvo kuiva-aineelle, MWh/t ka</t>
  </si>
  <si>
    <t>Diskonttokorko</t>
  </si>
  <si>
    <t>€/t ka</t>
  </si>
  <si>
    <t>Vaihtoehtoisia kustannustietoja</t>
  </si>
  <si>
    <t>Maa-alueen vuokra</t>
  </si>
  <si>
    <t>Entisen turvetuotantoalueen vuokra</t>
  </si>
  <si>
    <t>Lannoituskustannus per lannoituskerta. Sama kuin perustamislannoitus eli maksimi. HUOM kerro sadonkorjuun määrillä -1</t>
  </si>
  <si>
    <t>KASSAVIRTA</t>
  </si>
  <si>
    <t>diskontattu nettokassavirta eli nettonykyarvo</t>
  </si>
  <si>
    <t>Korjauskustannus (korjuu suoraan hakkeeksi)</t>
  </si>
  <si>
    <t>Pelkkä äestys</t>
  </si>
  <si>
    <t>Korjuukustannus RisuPedolla rangoiksi</t>
  </si>
  <si>
    <t>Kouvolassa tieto, että Risupedon työtahti 1000 m2 /  h = 0,1 ha / h --&gt; 1 ha/10 h . Tuntihinnalla 120 €/h korjuukustannus 1200 €/ha</t>
  </si>
  <si>
    <t>infosheet3_part2_secure-bio-supply-fin.pdf</t>
  </si>
  <si>
    <t>https://www.pajuenergia.fi/wp-content/uploads/2024/05/nielupajukon-normilaskentaa.pdf</t>
  </si>
  <si>
    <t>kg TS/k-m3</t>
  </si>
  <si>
    <t>€/i-m3</t>
  </si>
  <si>
    <t>i-m3/ha/vuosi</t>
  </si>
  <si>
    <t>k-m3/ha/vuosi</t>
  </si>
  <si>
    <t>Tuotteen logistiikka</t>
  </si>
  <si>
    <t>Kuljetus 60 km säteellä</t>
  </si>
  <si>
    <t>Logistiikka</t>
  </si>
  <si>
    <t>Kuljetuskustannus</t>
  </si>
  <si>
    <t>t k-a/ha/vuosi</t>
  </si>
  <si>
    <t>Sarake1</t>
  </si>
  <si>
    <t xml:space="preserve">Tuorehakkeen hehtaarisato kiintokuutioina </t>
  </si>
  <si>
    <t>Tuorehakkeen hinta irtokuutioina</t>
  </si>
  <si>
    <t>Koneellinen istutus kaksirivisellä istutuskoneilla. Istutuskone 125 €/ha, traktori + istutustyö 300 €/ha.</t>
  </si>
  <si>
    <t xml:space="preserve">Alasleikkuu istutusta seuraavana vuonna, jotta paju saadaan haaroittumaan. </t>
  </si>
  <si>
    <t>Kustannus per korjuukerta satotasolla 6,8 t k-a/ha/vuosi ja neljän vuoden korjuukierrolla. Korjuukustannus energiapuupäällä varustetulla hakettavalla ajosilppurilla 37 €/k-a tn.</t>
  </si>
  <si>
    <t>Pajuhakkeen myyntituotto</t>
  </si>
  <si>
    <t>Sarake2</t>
  </si>
  <si>
    <t>Kustannus €/ha</t>
  </si>
  <si>
    <t xml:space="preserve">KUSTANNUSLASKELMAN LÄHTÖTIETOJA </t>
  </si>
  <si>
    <t>Hankkeessa tehty arvio</t>
  </si>
  <si>
    <r>
      <t>Arvioitu neljän vuoden hehtaarisadon kuljetuskustannus keskimäärin 60 km päähän kuljetuskustannuksella 4 €/i-m</t>
    </r>
    <r>
      <rPr>
        <vertAlign val="superscript"/>
        <sz val="11"/>
        <color theme="1"/>
        <rFont val="Calibri"/>
        <family val="2"/>
        <scheme val="minor"/>
      </rPr>
      <t>3</t>
    </r>
    <r>
      <rPr>
        <sz val="11"/>
        <color theme="1"/>
        <rFont val="Calibri"/>
        <family val="2"/>
        <scheme val="minor"/>
      </rPr>
      <t>.</t>
    </r>
  </si>
  <si>
    <t>Mahdolliset tuet</t>
  </si>
  <si>
    <t>Pajuhakkeen kuiva-tuoretiheys</t>
  </si>
  <si>
    <t>Tuorehakkeen hehtaarisato irtokuutioina (k-m3 --&gt; i-m3, kerroin 2,5)</t>
  </si>
  <si>
    <t>PAJUHAKKEEN ARVO ENERGIAPUUNA, LASKENTATAULUKKO</t>
  </si>
  <si>
    <t>Yksikkömuunnokset (1 kWh = 3,6 MJ)</t>
  </si>
  <si>
    <t>Käytettyjä lähdeaineistoja:</t>
  </si>
  <si>
    <t xml:space="preserve">https://urn.fi/URN:ISBN:978-952-380-368-8 </t>
  </si>
  <si>
    <t xml:space="preserve">PERUSLASKELMASSA KÄYTETTYJÄ LÄHTÖTIETOJA </t>
  </si>
  <si>
    <t>KASSAVIRTALASKELMA PAJUHAKETTA KESTOKUIVIKKEEKSI</t>
  </si>
  <si>
    <t>(voi muuttaa oman tuottovaatimuksen/pääoman kustannuksen mukaiseksi)</t>
  </si>
  <si>
    <t>KASSAVIRTALASKELMAN TULOKSET</t>
  </si>
  <si>
    <t>NPV eli nettonykyarvo</t>
  </si>
  <si>
    <t>IRR eli sisäinen korkokanta eli tuottoprosentti</t>
  </si>
  <si>
    <t>Pajuviljelmän hehtaarisato vuodessa</t>
  </si>
  <si>
    <t>Myyntituotto korjattavalta alalta (25 ha), korjuu 4 vuoden välein</t>
  </si>
  <si>
    <t>Korjuuväli</t>
  </si>
  <si>
    <t>€/25 ha/4 vuotta</t>
  </si>
  <si>
    <t>HUOM! Laskelmassa 100 ha pajuviljelmä perustetaan vaiheittain siten, että joka vuosi perustetaan 25 ha viljelmä ensimmäisen neljän vuoden aikana. Ensimmäisen neljän viljelyvuoden jälkeen joka vuosi korjataan sato 25 hehtaarilta, jolloin kasvusto on neljävuotias.</t>
  </si>
  <si>
    <t>Kustannukset</t>
  </si>
  <si>
    <t>Vuoden kustannukset yht.</t>
  </si>
  <si>
    <t>Vuoden diskontatut kustannukset</t>
  </si>
  <si>
    <t>Kaikki kustannukset yhteensä</t>
  </si>
  <si>
    <t>diskontatut kustannukset yht.</t>
  </si>
  <si>
    <t>Mitä laskelmalla voi tehdä?</t>
  </si>
  <si>
    <t>Kassavirtalaskelma-välilehden avulla voi arvioida suunnitellun liiketoiminnan kassavirtaa ja kannattavuutta 24 vuoden tarkastelujaksolla.</t>
  </si>
  <si>
    <t>Laskentapohjassa on valmiina Pajuarvoketjuista uutta liiketoimintaa -hankkeessa laadittu esimerkkilaskelma liiketoimintamallista, jossa toimija viljelee pajua ja valmistaa siitä tuoretta pajuhaketta myytäväksi kestokuivikkeena. Laskentapohjaa voi muokata oman suunnitellun liiketoiminnan tarkasteluun.</t>
  </si>
  <si>
    <t>Mistä lähtötiedot löytyvät?</t>
  </si>
  <si>
    <r>
      <t xml:space="preserve">Esimerkkilaskelmassa käytettyjä kustannus- ja tuottotietoja sekä niiden lähteitä on koottu välilehdille </t>
    </r>
    <r>
      <rPr>
        <b/>
        <sz val="11"/>
        <color theme="1"/>
        <rFont val="Calibri"/>
        <family val="2"/>
        <scheme val="minor"/>
      </rPr>
      <t>Lähtötiedot_kustannukset</t>
    </r>
    <r>
      <rPr>
        <sz val="11"/>
        <color theme="1"/>
        <rFont val="Calibri"/>
        <family val="2"/>
        <scheme val="minor"/>
      </rPr>
      <t xml:space="preserve"> ja </t>
    </r>
    <r>
      <rPr>
        <b/>
        <sz val="11"/>
        <color theme="1"/>
        <rFont val="Calibri"/>
        <family val="2"/>
        <scheme val="minor"/>
      </rPr>
      <t>Lähtötiedot_tuotot</t>
    </r>
    <r>
      <rPr>
        <sz val="11"/>
        <color theme="1"/>
        <rFont val="Calibri"/>
        <family val="2"/>
        <scheme val="minor"/>
      </rPr>
      <t>. Kassavirtalaskelman kaavat hakevat tietoja näiltä välilehdiltä.</t>
    </r>
  </si>
  <si>
    <t>Miten laskelmaa voi muokata?</t>
  </si>
  <si>
    <t>Laskelmaa voi muokata omaan suunniteltuun liiketoimintaan sopivaksi kahdella tavalla:</t>
  </si>
  <si>
    <t>Laskentapohjasta kannattaa tallentaa oma kopio ennen kaavojen tai taulukon rakenteen muuttamista.</t>
  </si>
  <si>
    <t>Kustannusten ja tuottojen ajoittaminen</t>
  </si>
  <si>
    <t>Laskelmassa käytettävää diskonttokorkoa voi muuttaa tarkastelussa käytettävän tuottovaatimuksen mukaiseksi.</t>
  </si>
  <si>
    <t>Miten laskelman tuloksia tulkitaan?</t>
  </si>
  <si>
    <t>Huomioitavaa tuloksista</t>
  </si>
  <si>
    <t>Laskentapohja on tarkoitettu alustavien taloudellisten tarkastelujen tekemiseen. Tulokset riippuvat käytetyistä lähtöoletuksista, kuten kustannuksista, tuotantomääristä, myyntihinnoista ja niiden ajoittumisesta. Esimerkkilaskelman tulokset eivät sellaisenaan kuvaa yksittäisen yrityksen toteutuvan liiketoiminnan kannattavuutta, vaan tarkempi arviointi edellyttää tapauskohtaisten lähtötietojen käyttämistä.</t>
  </si>
  <si>
    <r>
      <t>Lähtötietoja muuttamalla:</t>
    </r>
    <r>
      <rPr>
        <sz val="12"/>
        <color theme="1"/>
        <rFont val="Calibri"/>
        <family val="2"/>
        <scheme val="minor"/>
      </rPr>
      <t xml:space="preserve"> Esimerkkilaskelmassa käytettyjä kustannus- ja tuottotietoja voi muuttaa </t>
    </r>
    <r>
      <rPr>
        <i/>
        <sz val="12"/>
        <color theme="1"/>
        <rFont val="Calibri"/>
        <family val="2"/>
        <scheme val="minor"/>
      </rPr>
      <t>Lähtötiedot_kustannukset</t>
    </r>
    <r>
      <rPr>
        <sz val="12"/>
        <color theme="1"/>
        <rFont val="Calibri"/>
        <family val="2"/>
        <scheme val="minor"/>
      </rPr>
      <t xml:space="preserve">- ja </t>
    </r>
    <r>
      <rPr>
        <i/>
        <sz val="12"/>
        <color theme="1"/>
        <rFont val="Calibri"/>
        <family val="2"/>
        <scheme val="minor"/>
      </rPr>
      <t>Lähtötiedot_tuotot</t>
    </r>
    <r>
      <rPr>
        <sz val="12"/>
        <color theme="1"/>
        <rFont val="Calibri"/>
        <family val="2"/>
        <scheme val="minor"/>
      </rPr>
      <t xml:space="preserve"> -välilehdillä. Kassavirtalaskelman kaavat hakevat muuttuneet tiedot näiltä välilehdiltä.</t>
    </r>
  </si>
  <si>
    <r>
      <t>Muokkaamalla kassavirtataulukkoa suoraan:</t>
    </r>
    <r>
      <rPr>
        <sz val="12"/>
        <color theme="1"/>
        <rFont val="Calibri"/>
        <family val="2"/>
        <scheme val="minor"/>
      </rPr>
      <t xml:space="preserve"> Kustannus- ja tuottoeriä voi lisätä, poistaa tai muuttaa suoraan </t>
    </r>
    <r>
      <rPr>
        <i/>
        <sz val="12"/>
        <color theme="1"/>
        <rFont val="Calibri"/>
        <family val="2"/>
        <scheme val="minor"/>
      </rPr>
      <t>Kassavirta_kuivike</t>
    </r>
    <r>
      <rPr>
        <sz val="12"/>
        <color theme="1"/>
        <rFont val="Calibri"/>
        <family val="2"/>
        <scheme val="minor"/>
      </rPr>
      <t>-välilehdellä omaa liiketoimintaa vastaaviksi. Huomaa, että solussa oleva kaava poistuu, jos sen päälle kirjoitetaan uusi arvo.</t>
    </r>
  </si>
  <si>
    <r>
      <t xml:space="preserve">Kustannukset ja tuotot tulee kohdistaa niille toimintavuosille, joina niiden arvioidaan toteutuvan. Laskelman toimintavuodet </t>
    </r>
    <r>
      <rPr>
        <b/>
        <sz val="12"/>
        <color theme="1"/>
        <rFont val="Calibri"/>
        <family val="2"/>
        <scheme val="minor"/>
      </rPr>
      <t>0–23</t>
    </r>
    <r>
      <rPr>
        <sz val="12"/>
        <color theme="1"/>
        <rFont val="Calibri"/>
        <family val="2"/>
        <scheme val="minor"/>
      </rPr>
      <t xml:space="preserve"> on esitetty </t>
    </r>
    <r>
      <rPr>
        <i/>
        <sz val="12"/>
        <color theme="1"/>
        <rFont val="Calibri"/>
        <family val="2"/>
        <scheme val="minor"/>
      </rPr>
      <t>Kassavirta_kuivike</t>
    </r>
    <r>
      <rPr>
        <sz val="12"/>
        <color theme="1"/>
        <rFont val="Calibri"/>
        <family val="2"/>
        <scheme val="minor"/>
      </rPr>
      <t>-välilehden rivillä 15. Vuosi 0 kuvaa toiminnan ja investointien aloitushetkeä.</t>
    </r>
  </si>
  <si>
    <r>
      <t>Nettonykyarvo (NPV)</t>
    </r>
    <r>
      <rPr>
        <sz val="12"/>
        <color theme="1"/>
        <rFont val="Calibri"/>
        <family val="2"/>
        <scheme val="minor"/>
      </rPr>
      <t xml:space="preserve"> kertoo investoinnin arvon valitulla tuottovaatimuksella, kun tarkastelujakson tulevat kassavirrat muutetaan nykyarvoon. Positiivinen nettonykyarvo tarkoittaa, että laskelma ylittää valitun tuottovaatimuksen. Negatiivinen nettonykyarvo tarkoittaa, että tuottovaatimus ei täyty.</t>
    </r>
  </si>
  <si>
    <r>
      <t>Sisäinen korkokanta (IRR)</t>
    </r>
    <r>
      <rPr>
        <sz val="12"/>
        <color theme="1"/>
        <rFont val="Calibri"/>
        <family val="2"/>
        <scheme val="minor"/>
      </rPr>
      <t xml:space="preserve"> kertoo laskelman kassavirtojen perusteella muodostuvan tuottoprosentin. Sitä voidaan verrata asetettuun tuottovaatimukseen: jos sisäinen korkokanta ylittää tuottovaatimuksen, investointi täyttää tämän kannattavuuskriteerin.</t>
    </r>
  </si>
  <si>
    <t>OHJEET KASSAVIRTALASKELMAN KÄYTTÖÖN</t>
  </si>
  <si>
    <r>
      <t>Takaisinmaksuaika</t>
    </r>
    <r>
      <rPr>
        <sz val="12"/>
        <color theme="1"/>
        <rFont val="Calibri"/>
        <family val="2"/>
        <scheme val="minor"/>
      </rPr>
      <t xml:space="preserve"> kertoo, kuinka monessa vuodessa kumulatiivinen kassavirta muuttuu positiiviseksi eli toiminnasta kertyneet nettokassavirrat kattavat sitä ennen syntyneet negatiiviset kassavirrat. Laskelmassa takaisinmaksuaika perustuu diskontattuihin kassavirtoihin, joten siinä huomioidaan myös rahan aika-arvo.</t>
    </r>
  </si>
  <si>
    <t>Nimellinen (ei diskontattu):</t>
  </si>
  <si>
    <t>Awuah, J., Pappinen, A., Laasasenaho, K., Hassan, M. K., Lauhanen, R., &amp; Kuittinen, S. (2026). Evaluating the investment attractiveness and carbon credit potential of short rotation willow plantation on a cutaway peatland. Industrial Crops &amp; Products, 240, 122567. https://doi.org/10.1016/j.indcrop.2025.122567</t>
  </si>
  <si>
    <t>Viherä-Aarnio, A., Jyske, T., Beuker, E., Kaseva, J., &amp; Sarjala, T. (toim.). (2022). Pajut biokiertotaloudessa: Materiaaleja, arvoaineita, ympäristöhyötyjä: Synteesiraportti. Luonnonvara- ja biotalouden tutkimus 11/2022. Luonnonvarakeskus.</t>
  </si>
  <si>
    <t>Carbons Finland Oy. (2020). Pajujen kasvatusohjeet: Kesä 2020. https://carbons.fi/wp-content/uploads/2020/11/Tuotekortti-Pajun-kasvatus-0720.pdf</t>
  </si>
  <si>
    <t>Vanbeveren, S. P. P., Spinelli, R., Eisenbies, M., Schweier, J., Mola-Yudego, B., Magagnotti, N., Acuna, M., Dimitriou, I., &amp; Ceulemans, R. (2017). Mechanised harvesting of short-rotation coppices. Renewable and Sustainable Energy Reviews, 76, 90–104. https://doi.org/10.1016/j.rser.2017.02.059</t>
  </si>
  <si>
    <t>Carbons Finland Oy 2020</t>
  </si>
  <si>
    <t>Mainitut lähdeaineistot:</t>
  </si>
  <si>
    <t>Osa laskentapohjan soluista on suojattu, jotta NPV:n, IRR:n ja takaisinmaksuajan laskentakaavat eivät muokkaudu vahingossa. Suojauksen voi tarvittaessa poistaa Excelissä. Suojauksen salasana on Pauli.</t>
  </si>
  <si>
    <t>Kassavirtalaskentataulukko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</si>
</sst>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0"/>
    <numFmt numFmtId="166" formatCode="#,##0.00\ &quot;€&quot;"/>
    <numFmt numFmtId="167" formatCode="#,##0\ &quot;€&quot;"/>
    <numFmt numFmtId="168" formatCode="_-* #,##0.00\ [$€-1]_-;\-* #,##0.00\ [$€-1]_-;_-* &quot;-&quot;??\ [$€-1]_-;_-@_-"/>
    <numFmt numFmtId="169" formatCode="0.000"/>
    <numFmt numFmtId="170" formatCode="0.0\ %"/>
  </numFmts>
  <fonts count="28"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14"/>
      <color theme="1"/>
      <name val="Calibri"/>
      <family val="2"/>
      <scheme val="minor"/>
    </font>
    <font>
      <sz val="8"/>
      <name val="Calibri"/>
      <family val="2"/>
      <scheme val="minor"/>
    </font>
    <font>
      <b/>
      <sz val="13"/>
      <color theme="3"/>
      <name val="Calibri"/>
      <family val="2"/>
      <scheme val="minor"/>
    </font>
    <font>
      <b/>
      <sz val="11"/>
      <color theme="3"/>
      <name val="Calibri"/>
      <family val="2"/>
      <scheme val="minor"/>
    </font>
    <font>
      <b/>
      <sz val="14"/>
      <color theme="1"/>
      <name val="Calibri"/>
      <family val="2"/>
      <scheme val="minor"/>
    </font>
    <font>
      <b/>
      <sz val="14"/>
      <color theme="3"/>
      <name val="Calibri"/>
      <family val="2"/>
      <scheme val="minor"/>
    </font>
    <font>
      <b/>
      <sz val="12"/>
      <color theme="1"/>
      <name val="Calibri"/>
      <family val="2"/>
      <scheme val="minor"/>
    </font>
    <font>
      <sz val="11"/>
      <color theme="0"/>
      <name val="Calibri"/>
      <family val="2"/>
      <scheme val="minor"/>
    </font>
    <font>
      <b/>
      <sz val="11"/>
      <name val="Calibri"/>
      <family val="2"/>
      <scheme val="minor"/>
    </font>
    <font>
      <sz val="14"/>
      <name val="Calibri"/>
      <family val="2"/>
      <scheme val="minor"/>
    </font>
    <font>
      <b/>
      <sz val="18"/>
      <color theme="1"/>
      <name val="Calibri"/>
      <family val="2"/>
      <scheme val="minor"/>
    </font>
    <font>
      <sz val="14"/>
      <color rgb="FFFF0000"/>
      <name val="Calibri"/>
      <family val="2"/>
      <scheme val="minor"/>
    </font>
    <font>
      <sz val="12"/>
      <color theme="1"/>
      <name val="Calibri"/>
      <family val="2"/>
      <scheme val="minor"/>
    </font>
    <font>
      <b/>
      <u/>
      <sz val="12"/>
      <name val="Calibri"/>
      <family val="2"/>
      <scheme val="minor"/>
    </font>
    <font>
      <sz val="14"/>
      <color theme="0"/>
      <name val="Calibri"/>
      <family val="2"/>
      <scheme val="minor"/>
    </font>
    <font>
      <u/>
      <sz val="12"/>
      <name val="Calibri"/>
      <family val="2"/>
      <scheme val="minor"/>
    </font>
    <font>
      <b/>
      <u/>
      <sz val="11"/>
      <color theme="1"/>
      <name val="Calibri"/>
      <family val="2"/>
      <scheme val="minor"/>
    </font>
    <font>
      <vertAlign val="superscript"/>
      <sz val="11"/>
      <color theme="1"/>
      <name val="Calibri"/>
      <family val="2"/>
      <scheme val="minor"/>
    </font>
    <font>
      <b/>
      <u/>
      <sz val="16"/>
      <color theme="1"/>
      <name val="Calibri"/>
      <family val="2"/>
      <scheme val="minor"/>
    </font>
    <font>
      <b/>
      <sz val="13.5"/>
      <color theme="1"/>
      <name val="Calibri"/>
      <family val="2"/>
      <scheme val="minor"/>
    </font>
    <font>
      <i/>
      <sz val="12"/>
      <color theme="1"/>
      <name val="Calibri"/>
      <family val="2"/>
      <scheme val="minor"/>
    </font>
    <font>
      <u/>
      <sz val="11"/>
      <color theme="1"/>
      <name val="Calibri"/>
      <family val="2"/>
      <scheme val="minor"/>
    </font>
  </fonts>
  <fills count="11">
    <fill>
      <patternFill patternType="none"/>
    </fill>
    <fill>
      <patternFill patternType="gray125"/>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theme="6"/>
      </left>
      <right/>
      <top style="thin">
        <color theme="6"/>
      </top>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right/>
      <top style="thin">
        <color theme="6"/>
      </top>
      <bottom/>
      <diagonal/>
    </border>
    <border>
      <left/>
      <right style="thin">
        <color theme="6"/>
      </right>
      <top style="thin">
        <color theme="6"/>
      </top>
      <bottom/>
      <diagonal/>
    </border>
    <border>
      <left/>
      <right/>
      <top style="thin">
        <color theme="6"/>
      </top>
      <bottom style="thin">
        <color theme="6"/>
      </bottom>
      <diagonal/>
    </border>
    <border>
      <left/>
      <right style="thin">
        <color indexed="64"/>
      </right>
      <top/>
      <bottom/>
      <diagonal/>
    </border>
    <border>
      <left/>
      <right style="thin">
        <color indexed="64"/>
      </right>
      <top/>
      <bottom style="thin">
        <color indexed="64"/>
      </bottom>
      <diagonal/>
    </border>
    <border>
      <left/>
      <right style="thin">
        <color indexed="64"/>
      </right>
      <top style="thick">
        <color theme="4" tint="0.499984740745262"/>
      </top>
      <bottom/>
      <diagonal/>
    </border>
    <border>
      <left/>
      <right style="thin">
        <color indexed="64"/>
      </right>
      <top/>
      <bottom style="medium">
        <color theme="4" tint="0.39997558519241921"/>
      </bottom>
      <diagonal/>
    </border>
    <border>
      <left/>
      <right style="thin">
        <color indexed="64"/>
      </right>
      <top style="thin">
        <color indexed="64"/>
      </top>
      <bottom style="medium">
        <color theme="4" tint="0.39997558519241921"/>
      </bottom>
      <diagonal/>
    </border>
    <border>
      <left/>
      <right style="thin">
        <color indexed="64"/>
      </right>
      <top style="thin">
        <color indexed="64"/>
      </top>
      <bottom/>
      <diagonal/>
    </border>
    <border>
      <left/>
      <right style="thin">
        <color indexed="64"/>
      </right>
      <top/>
      <bottom style="medium">
        <color indexed="64"/>
      </bottom>
      <diagonal/>
    </border>
    <border>
      <left/>
      <right/>
      <top/>
      <bottom style="medium">
        <color indexed="64"/>
      </bottom>
      <diagonal/>
    </border>
    <border>
      <left/>
      <right/>
      <top/>
      <bottom style="thin">
        <color theme="1"/>
      </bottom>
      <diagonal/>
    </border>
    <border>
      <left style="thin">
        <color indexed="64"/>
      </left>
      <right style="thin">
        <color indexed="64"/>
      </right>
      <top style="thin">
        <color indexed="64"/>
      </top>
      <bottom/>
      <diagonal/>
    </border>
  </borders>
  <cellStyleXfs count="6">
    <xf numFmtId="0" fontId="0" fillId="0" borderId="0"/>
    <xf numFmtId="43" fontId="2" fillId="0" borderId="0" applyFont="0" applyFill="0" applyBorder="0" applyAlignment="0" applyProtection="0"/>
    <xf numFmtId="0" fontId="4" fillId="0" borderId="0" applyNumberFormat="0" applyFill="0" applyBorder="0" applyAlignment="0" applyProtection="0"/>
    <xf numFmtId="9" fontId="2" fillId="0" borderId="0" applyFont="0" applyFill="0" applyBorder="0" applyAlignment="0" applyProtection="0"/>
    <xf numFmtId="0" fontId="8" fillId="0" borderId="4" applyNumberFormat="0" applyFill="0" applyAlignment="0" applyProtection="0"/>
    <xf numFmtId="0" fontId="9" fillId="0" borderId="5" applyNumberFormat="0" applyFill="0" applyAlignment="0" applyProtection="0"/>
  </cellStyleXfs>
  <cellXfs count="138">
    <xf numFmtId="0" fontId="0" fillId="0" borderId="0" xfId="0"/>
    <xf numFmtId="0" fontId="1" fillId="0" borderId="0" xfId="0" applyFont="1"/>
    <xf numFmtId="1" fontId="0" fillId="0" borderId="0" xfId="0" applyNumberFormat="1"/>
    <xf numFmtId="0" fontId="3" fillId="0" borderId="0" xfId="0" applyFont="1"/>
    <xf numFmtId="0" fontId="6" fillId="0" borderId="0" xfId="0" applyFont="1"/>
    <xf numFmtId="0" fontId="0" fillId="0" borderId="0" xfId="0" quotePrefix="1"/>
    <xf numFmtId="0" fontId="0" fillId="0" borderId="10" xfId="0" applyBorder="1"/>
    <xf numFmtId="0" fontId="0" fillId="0" borderId="9" xfId="0" applyBorder="1"/>
    <xf numFmtId="0" fontId="0" fillId="0" borderId="11" xfId="0" applyBorder="1"/>
    <xf numFmtId="164" fontId="0" fillId="0" borderId="0" xfId="0" applyNumberFormat="1"/>
    <xf numFmtId="0" fontId="6" fillId="0" borderId="1" xfId="0" applyFont="1" applyBorder="1"/>
    <xf numFmtId="0" fontId="0" fillId="4" borderId="9" xfId="0" applyFill="1" applyBorder="1"/>
    <xf numFmtId="164" fontId="0" fillId="0" borderId="3" xfId="0" applyNumberFormat="1" applyBorder="1"/>
    <xf numFmtId="164" fontId="0" fillId="0" borderId="9" xfId="1" applyNumberFormat="1" applyFont="1" applyBorder="1"/>
    <xf numFmtId="164" fontId="0" fillId="0" borderId="9" xfId="0" applyNumberFormat="1" applyBorder="1"/>
    <xf numFmtId="164" fontId="0" fillId="0" borderId="10" xfId="0" applyNumberFormat="1" applyBorder="1"/>
    <xf numFmtId="0" fontId="0" fillId="0" borderId="0" xfId="0" applyAlignment="1">
      <alignment horizontal="right"/>
    </xf>
    <xf numFmtId="166" fontId="0" fillId="0" borderId="0" xfId="0" applyNumberFormat="1"/>
    <xf numFmtId="166" fontId="1" fillId="3" borderId="0" xfId="0" applyNumberFormat="1" applyFont="1" applyFill="1"/>
    <xf numFmtId="166" fontId="1" fillId="2" borderId="0" xfId="0" applyNumberFormat="1" applyFont="1" applyFill="1"/>
    <xf numFmtId="167" fontId="0" fillId="0" borderId="0" xfId="0" applyNumberFormat="1"/>
    <xf numFmtId="0" fontId="5" fillId="0" borderId="9" xfId="0" applyFont="1" applyBorder="1"/>
    <xf numFmtId="0" fontId="10" fillId="0" borderId="0" xfId="0" applyFont="1"/>
    <xf numFmtId="0" fontId="12" fillId="0" borderId="0" xfId="0" applyFont="1"/>
    <xf numFmtId="164" fontId="5" fillId="4" borderId="0" xfId="0" applyNumberFormat="1" applyFont="1" applyFill="1"/>
    <xf numFmtId="164" fontId="0" fillId="0" borderId="0" xfId="1" applyNumberFormat="1" applyFont="1" applyFill="1" applyBorder="1"/>
    <xf numFmtId="164" fontId="0" fillId="0" borderId="9" xfId="1" applyNumberFormat="1" applyFont="1" applyFill="1" applyBorder="1"/>
    <xf numFmtId="0" fontId="11" fillId="0" borderId="4" xfId="4" applyFont="1" applyFill="1"/>
    <xf numFmtId="164" fontId="5" fillId="0" borderId="0" xfId="0" applyNumberFormat="1" applyFont="1"/>
    <xf numFmtId="166" fontId="1" fillId="0" borderId="0" xfId="0" applyNumberFormat="1" applyFont="1"/>
    <xf numFmtId="166" fontId="14" fillId="4" borderId="0" xfId="0" applyNumberFormat="1" applyFont="1" applyFill="1"/>
    <xf numFmtId="164" fontId="6" fillId="0" borderId="0" xfId="0" applyNumberFormat="1" applyFont="1"/>
    <xf numFmtId="0" fontId="5" fillId="0" borderId="0" xfId="0" applyFont="1"/>
    <xf numFmtId="164" fontId="0" fillId="4" borderId="0" xfId="1" applyNumberFormat="1" applyFont="1" applyFill="1" applyBorder="1"/>
    <xf numFmtId="164" fontId="0" fillId="0" borderId="0" xfId="1" applyNumberFormat="1" applyFont="1" applyBorder="1"/>
    <xf numFmtId="164" fontId="0" fillId="4" borderId="9" xfId="1" applyNumberFormat="1" applyFont="1" applyFill="1" applyBorder="1" applyAlignment="1">
      <alignment horizontal="left" vertical="top"/>
    </xf>
    <xf numFmtId="164" fontId="5" fillId="4" borderId="9" xfId="0" applyNumberFormat="1" applyFont="1" applyFill="1" applyBorder="1"/>
    <xf numFmtId="0" fontId="1" fillId="5" borderId="9" xfId="0" applyFont="1" applyFill="1" applyBorder="1"/>
    <xf numFmtId="0" fontId="0" fillId="5" borderId="0" xfId="0" applyFill="1"/>
    <xf numFmtId="2" fontId="3" fillId="5" borderId="0" xfId="0" applyNumberFormat="1" applyFont="1" applyFill="1"/>
    <xf numFmtId="0" fontId="0" fillId="5" borderId="9" xfId="0" applyFill="1" applyBorder="1"/>
    <xf numFmtId="0" fontId="1" fillId="6" borderId="9" xfId="0" applyFont="1" applyFill="1" applyBorder="1"/>
    <xf numFmtId="164" fontId="0" fillId="6" borderId="0" xfId="1" applyNumberFormat="1" applyFont="1" applyFill="1" applyBorder="1"/>
    <xf numFmtId="164" fontId="0" fillId="6" borderId="9" xfId="1" applyNumberFormat="1" applyFont="1" applyFill="1" applyBorder="1"/>
    <xf numFmtId="0" fontId="5" fillId="0" borderId="0" xfId="0" applyFont="1" applyAlignment="1">
      <alignment wrapText="1"/>
    </xf>
    <xf numFmtId="0" fontId="15" fillId="0" borderId="0" xfId="0" applyFont="1"/>
    <xf numFmtId="0" fontId="0" fillId="7" borderId="17" xfId="0" applyFill="1" applyBorder="1"/>
    <xf numFmtId="0" fontId="16" fillId="7" borderId="17" xfId="0" applyFont="1" applyFill="1" applyBorder="1"/>
    <xf numFmtId="0" fontId="5" fillId="0" borderId="0" xfId="0" applyFont="1" applyAlignment="1">
      <alignment horizontal="left" vertical="top" wrapText="1"/>
    </xf>
    <xf numFmtId="164" fontId="17" fillId="0" borderId="0" xfId="0" applyNumberFormat="1" applyFont="1"/>
    <xf numFmtId="164" fontId="6" fillId="8" borderId="0" xfId="0" applyNumberFormat="1" applyFont="1" applyFill="1"/>
    <xf numFmtId="0" fontId="19" fillId="0" borderId="9" xfId="0" applyFont="1" applyBorder="1"/>
    <xf numFmtId="0" fontId="18" fillId="0" borderId="0" xfId="0" applyFont="1" applyAlignment="1">
      <alignment wrapText="1"/>
    </xf>
    <xf numFmtId="1" fontId="6" fillId="0" borderId="0" xfId="0" applyNumberFormat="1" applyFont="1"/>
    <xf numFmtId="0" fontId="20" fillId="8" borderId="0" xfId="0" applyFont="1" applyFill="1"/>
    <xf numFmtId="0" fontId="21" fillId="8" borderId="0" xfId="0" applyFont="1" applyFill="1" applyAlignment="1">
      <alignment wrapText="1"/>
    </xf>
    <xf numFmtId="164" fontId="0" fillId="4" borderId="14" xfId="1" applyNumberFormat="1" applyFont="1" applyFill="1" applyBorder="1"/>
    <xf numFmtId="0" fontId="5" fillId="8" borderId="6" xfId="0" applyFont="1" applyFill="1" applyBorder="1" applyAlignment="1">
      <alignment horizontal="right" vertical="top"/>
    </xf>
    <xf numFmtId="0" fontId="5" fillId="0" borderId="0" xfId="0" applyFont="1" applyAlignment="1">
      <alignment vertical="top"/>
    </xf>
    <xf numFmtId="2" fontId="5" fillId="0" borderId="0" xfId="0" applyNumberFormat="1" applyFont="1" applyAlignment="1">
      <alignment vertical="top"/>
    </xf>
    <xf numFmtId="9" fontId="6" fillId="0" borderId="0" xfId="3" applyFont="1" applyBorder="1"/>
    <xf numFmtId="0" fontId="6" fillId="9" borderId="1" xfId="0" applyFont="1" applyFill="1" applyBorder="1"/>
    <xf numFmtId="0" fontId="6" fillId="9" borderId="1" xfId="0" applyFont="1" applyFill="1" applyBorder="1" applyAlignment="1">
      <alignment wrapText="1"/>
    </xf>
    <xf numFmtId="0" fontId="24" fillId="0" borderId="0" xfId="0" applyFont="1"/>
    <xf numFmtId="170" fontId="10" fillId="9" borderId="1" xfId="3" applyNumberFormat="1" applyFont="1" applyFill="1" applyBorder="1" applyProtection="1"/>
    <xf numFmtId="166" fontId="10" fillId="9" borderId="1" xfId="0" applyNumberFormat="1" applyFont="1" applyFill="1" applyBorder="1"/>
    <xf numFmtId="0" fontId="10" fillId="9" borderId="1" xfId="0" applyFont="1" applyFill="1" applyBorder="1"/>
    <xf numFmtId="9" fontId="6" fillId="0" borderId="1" xfId="3" applyFont="1" applyBorder="1" applyProtection="1">
      <protection locked="0"/>
    </xf>
    <xf numFmtId="0" fontId="12" fillId="0" borderId="10" xfId="0" applyFont="1" applyBorder="1" applyProtection="1">
      <protection locked="0"/>
    </xf>
    <xf numFmtId="0" fontId="0" fillId="0" borderId="3" xfId="0" applyBorder="1" applyProtection="1">
      <protection locked="0"/>
    </xf>
    <xf numFmtId="0" fontId="0" fillId="2" borderId="3" xfId="0" applyFill="1" applyBorder="1" applyProtection="1">
      <protection locked="0"/>
    </xf>
    <xf numFmtId="0" fontId="0" fillId="2" borderId="10" xfId="0" applyFill="1" applyBorder="1" applyProtection="1">
      <protection locked="0"/>
    </xf>
    <xf numFmtId="0" fontId="0" fillId="0" borderId="0" xfId="0" applyProtection="1">
      <protection locked="0"/>
    </xf>
    <xf numFmtId="0" fontId="9" fillId="3" borderId="13" xfId="5" applyFill="1" applyBorder="1" applyProtection="1">
      <protection locked="0"/>
    </xf>
    <xf numFmtId="0" fontId="0" fillId="3" borderId="0" xfId="0" applyFill="1" applyProtection="1">
      <protection locked="0"/>
    </xf>
    <xf numFmtId="0" fontId="0" fillId="3" borderId="14" xfId="0" applyFill="1" applyBorder="1" applyProtection="1">
      <protection locked="0"/>
    </xf>
    <xf numFmtId="0" fontId="1" fillId="0" borderId="9" xfId="0" applyFont="1" applyBorder="1" applyProtection="1">
      <protection locked="0"/>
    </xf>
    <xf numFmtId="0" fontId="0" fillId="0" borderId="9" xfId="0" applyBorder="1" applyProtection="1">
      <protection locked="0"/>
    </xf>
    <xf numFmtId="1" fontId="5" fillId="0" borderId="0" xfId="0" applyNumberFormat="1" applyFont="1" applyProtection="1">
      <protection locked="0"/>
    </xf>
    <xf numFmtId="1" fontId="0" fillId="0" borderId="0" xfId="0" applyNumberFormat="1" applyProtection="1">
      <protection locked="0"/>
    </xf>
    <xf numFmtId="0" fontId="5" fillId="0" borderId="9" xfId="0" applyFont="1" applyBorder="1" applyAlignment="1" applyProtection="1">
      <alignment vertical="top" wrapText="1"/>
      <protection locked="0"/>
    </xf>
    <xf numFmtId="1" fontId="0" fillId="0" borderId="9" xfId="0" applyNumberFormat="1" applyBorder="1" applyProtection="1">
      <protection locked="0"/>
    </xf>
    <xf numFmtId="168" fontId="1" fillId="0" borderId="0" xfId="0" applyNumberFormat="1" applyFont="1" applyProtection="1">
      <protection locked="0"/>
    </xf>
    <xf numFmtId="0" fontId="0" fillId="0" borderId="9" xfId="0" applyBorder="1" applyAlignment="1" applyProtection="1">
      <alignment horizontal="left" vertical="top" wrapText="1"/>
      <protection locked="0"/>
    </xf>
    <xf numFmtId="3" fontId="0" fillId="0" borderId="0" xfId="0" applyNumberFormat="1" applyProtection="1">
      <protection locked="0"/>
    </xf>
    <xf numFmtId="3" fontId="0" fillId="0" borderId="9" xfId="0" applyNumberFormat="1" applyBorder="1" applyProtection="1">
      <protection locked="0"/>
    </xf>
    <xf numFmtId="0" fontId="0" fillId="0" borderId="10" xfId="0" applyBorder="1" applyProtection="1">
      <protection locked="0"/>
    </xf>
    <xf numFmtId="0" fontId="9" fillId="2" borderId="12" xfId="5" applyFill="1" applyBorder="1" applyProtection="1">
      <protection locked="0"/>
    </xf>
    <xf numFmtId="0" fontId="0" fillId="2" borderId="0" xfId="0" applyFill="1" applyProtection="1">
      <protection locked="0"/>
    </xf>
    <xf numFmtId="0" fontId="0" fillId="2" borderId="9" xfId="0" applyFill="1" applyBorder="1" applyProtection="1">
      <protection locked="0"/>
    </xf>
    <xf numFmtId="0" fontId="5" fillId="0" borderId="9" xfId="0" applyFont="1" applyBorder="1" applyProtection="1">
      <protection locked="0"/>
    </xf>
    <xf numFmtId="164" fontId="0" fillId="0" borderId="0" xfId="1" applyNumberFormat="1" applyFont="1" applyFill="1" applyProtection="1">
      <protection locked="0"/>
    </xf>
    <xf numFmtId="166" fontId="1" fillId="2" borderId="0" xfId="0" applyNumberFormat="1" applyFont="1" applyFill="1" applyProtection="1">
      <protection locked="0"/>
    </xf>
    <xf numFmtId="0" fontId="0" fillId="0" borderId="15" xfId="0" applyBorder="1" applyProtection="1">
      <protection locked="0"/>
    </xf>
    <xf numFmtId="164" fontId="0" fillId="0" borderId="16" xfId="1" applyNumberFormat="1" applyFont="1" applyFill="1" applyBorder="1" applyProtection="1">
      <protection locked="0"/>
    </xf>
    <xf numFmtId="164" fontId="0" fillId="0" borderId="15" xfId="1" applyNumberFormat="1" applyFont="1" applyFill="1" applyBorder="1" applyProtection="1">
      <protection locked="0"/>
    </xf>
    <xf numFmtId="166" fontId="1" fillId="0" borderId="0" xfId="0" applyNumberFormat="1" applyFont="1" applyProtection="1">
      <protection locked="0"/>
    </xf>
    <xf numFmtId="164" fontId="0" fillId="0" borderId="0" xfId="1" applyNumberFormat="1" applyFont="1" applyFill="1" applyBorder="1" applyProtection="1">
      <protection locked="0"/>
    </xf>
    <xf numFmtId="164" fontId="0" fillId="0" borderId="9" xfId="1" applyNumberFormat="1" applyFont="1" applyFill="1" applyBorder="1" applyProtection="1">
      <protection locked="0"/>
    </xf>
    <xf numFmtId="0" fontId="6" fillId="7" borderId="17" xfId="0" applyFont="1" applyFill="1" applyBorder="1"/>
    <xf numFmtId="0" fontId="0" fillId="0" borderId="1" xfId="0" applyBorder="1"/>
    <xf numFmtId="165" fontId="0" fillId="0" borderId="1" xfId="0" applyNumberFormat="1" applyBorder="1"/>
    <xf numFmtId="0" fontId="22" fillId="0" borderId="0" xfId="0" applyFont="1"/>
    <xf numFmtId="0" fontId="18" fillId="0" borderId="1" xfId="0" applyFont="1" applyBorder="1"/>
    <xf numFmtId="1" fontId="0" fillId="0" borderId="1" xfId="0" applyNumberFormat="1" applyBorder="1"/>
    <xf numFmtId="2" fontId="1" fillId="0" borderId="0" xfId="0" applyNumberFormat="1" applyFont="1"/>
    <xf numFmtId="0" fontId="4" fillId="0" borderId="0" xfId="2" applyProtection="1"/>
    <xf numFmtId="0" fontId="0" fillId="0" borderId="0" xfId="0" applyAlignment="1">
      <alignment wrapText="1"/>
    </xf>
    <xf numFmtId="0" fontId="14" fillId="0" borderId="0" xfId="0" applyFont="1" applyAlignment="1">
      <alignment vertical="top"/>
    </xf>
    <xf numFmtId="0" fontId="0" fillId="0" borderId="0" xfId="0" applyAlignment="1">
      <alignment vertical="top"/>
    </xf>
    <xf numFmtId="2" fontId="0" fillId="0" borderId="0" xfId="0" applyNumberFormat="1" applyAlignment="1">
      <alignment vertical="top"/>
    </xf>
    <xf numFmtId="1" fontId="0" fillId="0" borderId="0" xfId="0" applyNumberFormat="1" applyAlignment="1">
      <alignment vertical="top"/>
    </xf>
    <xf numFmtId="0" fontId="0" fillId="0" borderId="0" xfId="0" applyAlignment="1">
      <alignment vertical="top" wrapText="1"/>
    </xf>
    <xf numFmtId="0" fontId="13" fillId="0" borderId="0" xfId="0" applyFont="1" applyAlignment="1">
      <alignment vertical="top"/>
    </xf>
    <xf numFmtId="169" fontId="0" fillId="0" borderId="0" xfId="0" applyNumberFormat="1" applyAlignment="1">
      <alignment vertical="top"/>
    </xf>
    <xf numFmtId="0" fontId="13" fillId="0" borderId="0" xfId="0" applyFont="1" applyAlignment="1">
      <alignment vertical="top" wrapText="1"/>
    </xf>
    <xf numFmtId="1" fontId="5" fillId="0" borderId="0" xfId="0" applyNumberFormat="1" applyFont="1" applyAlignment="1">
      <alignment vertical="top" wrapText="1"/>
    </xf>
    <xf numFmtId="0" fontId="5" fillId="0" borderId="0" xfId="0" quotePrefix="1" applyFont="1" applyAlignment="1">
      <alignment vertical="top" wrapText="1"/>
    </xf>
    <xf numFmtId="0" fontId="0" fillId="0" borderId="6" xfId="0" applyBorder="1" applyAlignment="1">
      <alignment wrapText="1"/>
    </xf>
    <xf numFmtId="1" fontId="5" fillId="0" borderId="0" xfId="0" applyNumberFormat="1" applyFont="1" applyAlignment="1">
      <alignment vertical="top"/>
    </xf>
    <xf numFmtId="0" fontId="13" fillId="0" borderId="2" xfId="0" applyFont="1" applyBorder="1" applyAlignment="1">
      <alignment vertical="top"/>
    </xf>
    <xf numFmtId="0" fontId="0" fillId="0" borderId="6" xfId="0" applyBorder="1" applyAlignment="1">
      <alignment vertical="top"/>
    </xf>
    <xf numFmtId="0" fontId="0" fillId="0" borderId="2" xfId="0" applyBorder="1" applyAlignment="1">
      <alignment vertical="top"/>
    </xf>
    <xf numFmtId="1" fontId="0" fillId="0" borderId="6" xfId="0" applyNumberFormat="1" applyBorder="1" applyAlignment="1">
      <alignment vertical="top"/>
    </xf>
    <xf numFmtId="0" fontId="0" fillId="0" borderId="7" xfId="0" applyBorder="1" applyAlignment="1">
      <alignment vertical="top" wrapText="1"/>
    </xf>
    <xf numFmtId="1" fontId="0" fillId="0" borderId="8" xfId="0" applyNumberFormat="1" applyBorder="1" applyAlignment="1">
      <alignment vertical="top"/>
    </xf>
    <xf numFmtId="0" fontId="0" fillId="0" borderId="0" xfId="0" applyAlignment="1">
      <alignment horizontal="left" vertical="top" wrapText="1"/>
    </xf>
    <xf numFmtId="4" fontId="0" fillId="0" borderId="0" xfId="0" applyNumberFormat="1" applyAlignment="1">
      <alignment vertical="top"/>
    </xf>
    <xf numFmtId="0" fontId="0" fillId="0" borderId="18" xfId="0" applyBorder="1"/>
    <xf numFmtId="2" fontId="1" fillId="0" borderId="18" xfId="0" applyNumberFormat="1" applyFont="1" applyBorder="1"/>
    <xf numFmtId="0" fontId="25" fillId="0" borderId="0" xfId="0" applyFont="1" applyAlignment="1">
      <alignment vertical="center"/>
    </xf>
    <xf numFmtId="0" fontId="10" fillId="10" borderId="0" xfId="0" applyFont="1" applyFill="1"/>
    <xf numFmtId="0" fontId="18" fillId="0" borderId="0" xfId="0" applyFont="1"/>
    <xf numFmtId="0" fontId="12" fillId="0" borderId="0" xfId="0" applyFont="1" applyAlignment="1">
      <alignment horizontal="left" vertical="center" indent="1"/>
    </xf>
    <xf numFmtId="0" fontId="12" fillId="0" borderId="0" xfId="0" applyFont="1" applyAlignment="1">
      <alignment wrapText="1"/>
    </xf>
    <xf numFmtId="0" fontId="27" fillId="0" borderId="0" xfId="0" applyFont="1"/>
    <xf numFmtId="0" fontId="6" fillId="3" borderId="0" xfId="0" applyFont="1" applyFill="1"/>
    <xf numFmtId="0" fontId="0" fillId="3" borderId="0" xfId="0" applyFill="1"/>
  </cellXfs>
  <cellStyles count="6">
    <cellStyle name="Hyperlinkki" xfId="2" builtinId="8"/>
    <cellStyle name="Normaali" xfId="0" builtinId="0"/>
    <cellStyle name="Otsikko 2" xfId="4" builtinId="17"/>
    <cellStyle name="Otsikko 3" xfId="5" builtinId="18"/>
    <cellStyle name="Pilkku" xfId="1" builtinId="3"/>
    <cellStyle name="Prosenttia" xfId="3" builtinId="5"/>
  </cellStyles>
  <dxfs count="12">
    <dxf>
      <border diagonalUp="0" diagonalDown="0">
        <left style="thin">
          <color indexed="64"/>
        </left>
        <right style="thin">
          <color indexed="64"/>
        </right>
        <top style="thin">
          <color indexed="64"/>
        </top>
        <bottom style="thin">
          <color indexed="64"/>
        </bottom>
        <vertical/>
        <horizontal/>
      </border>
      <protection locked="1" hidden="0"/>
    </dxf>
    <dxf>
      <border diagonalUp="0" diagonalDown="0">
        <left style="thin">
          <color indexed="64"/>
        </left>
        <right style="thin">
          <color indexed="64"/>
        </right>
        <top style="thin">
          <color indexed="64"/>
        </top>
        <bottom style="thin">
          <color indexed="64"/>
        </bottom>
        <vertical/>
        <horizontal/>
      </border>
      <protection locked="1" hidden="0"/>
    </dxf>
    <dxf>
      <border outline="0">
        <bottom style="thin">
          <color indexed="64"/>
        </bottom>
      </border>
    </dxf>
    <dxf>
      <alignment vertical="top" textRotation="0" indent="0" justifyLastLine="0" shrinkToFit="0" readingOrder="0"/>
      <protection locked="1" hidden="0"/>
    </dxf>
    <dxf>
      <alignment vertical="top" textRotation="0" indent="0" justifyLastLine="0" shrinkToFit="0" readingOrder="0"/>
      <protection locked="1" hidden="0"/>
    </dxf>
    <dxf>
      <alignment vertical="top" textRotation="0" indent="0" justifyLastLine="0" shrinkToFit="0" readingOrder="0"/>
      <protection locked="1" hidden="0"/>
    </dxf>
    <dxf>
      <numFmt numFmtId="1" formatCode="0"/>
    </dxf>
    <dxf>
      <alignment vertical="top" textRotation="0" indent="0" justifyLastLine="0" shrinkToFit="0" readingOrder="0"/>
      <protection locked="1" hidden="0"/>
    </dxf>
    <dxf>
      <alignment horizontal="right" vertical="bottom" textRotation="0" wrapText="0" indent="1" justifyLastLine="0" shrinkToFit="0" readingOrder="0"/>
    </dxf>
    <dxf>
      <alignment vertical="top" textRotation="0" indent="0" justifyLastLine="0" shrinkToFit="0" readingOrder="0"/>
      <protection locked="1" hidden="0"/>
    </dxf>
    <dxf>
      <alignment vertical="top" textRotation="0" indent="0" justifyLastLine="0" shrinkToFit="0" readingOrder="0"/>
      <protection locked="1" hidden="0"/>
    </dxf>
    <dxf>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chartsheet" Target="chartsheets/sheet1.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4.xml"/><Relationship Id="rId10" Type="http://schemas.openxmlformats.org/officeDocument/2006/relationships/calcChain" Target="calcChain.xml"/><Relationship Id="rId4" Type="http://schemas.openxmlformats.org/officeDocument/2006/relationships/worksheet" Target="worksheets/sheet3.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r>
              <a:rPr lang="fi-FI" sz="2000"/>
              <a:t>Kestokuiviketuotanto</a:t>
            </a:r>
            <a:r>
              <a:rPr lang="fi-FI" sz="2000" baseline="0"/>
              <a:t> - kumulatiivinen diskontattu kassavirta</a:t>
            </a:r>
            <a:endParaRPr lang="fi-FI" sz="2000"/>
          </a:p>
        </c:rich>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0.13272799166631391"/>
          <c:y val="0.12115085776092224"/>
          <c:w val="0.83438781167438747"/>
          <c:h val="0.81223147907282411"/>
        </c:manualLayout>
      </c:layout>
      <c:scatterChart>
        <c:scatterStyle val="line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xVal>
            <c:numRef>
              <c:f>Kassavirta_kuivike!$B$14:$Y$14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xVal>
          <c:yVal>
            <c:numRef>
              <c:f>Kassavirta_kuivike!$B$53:$Y$53</c:f>
              <c:numCache>
                <c:formatCode>_-* #\ ##0_-;\-* #\ ##0_-;_-* "-"??_-;_-@_-</c:formatCode>
                <c:ptCount val="24"/>
                <c:pt idx="0">
                  <c:v>-84461.416666666672</c:v>
                </c:pt>
                <c:pt idx="1">
                  <c:v>-189622.40873015876</c:v>
                </c:pt>
                <c:pt idx="2">
                  <c:v>-294980.94992441422</c:v>
                </c:pt>
                <c:pt idx="3">
                  <c:v>-400279.76574703958</c:v>
                </c:pt>
                <c:pt idx="4">
                  <c:v>-378325.01324965194</c:v>
                </c:pt>
                <c:pt idx="5">
                  <c:v>-341573.70753784687</c:v>
                </c:pt>
                <c:pt idx="6">
                  <c:v>-306572.46400279441</c:v>
                </c:pt>
                <c:pt idx="7">
                  <c:v>-273237.94635036349</c:v>
                </c:pt>
                <c:pt idx="8">
                  <c:v>-241490.78668138167</c:v>
                </c:pt>
                <c:pt idx="9">
                  <c:v>-211255.39652044658</c:v>
                </c:pt>
                <c:pt idx="10">
                  <c:v>-182459.78684336555</c:v>
                </c:pt>
                <c:pt idx="11">
                  <c:v>-155035.39667471696</c:v>
                </c:pt>
                <c:pt idx="12">
                  <c:v>-128916.92984743259</c:v>
                </c:pt>
                <c:pt idx="13">
                  <c:v>-104042.19953573319</c:v>
                </c:pt>
                <c:pt idx="14">
                  <c:v>-80351.980191257564</c:v>
                </c:pt>
                <c:pt idx="15">
                  <c:v>-57789.86652985221</c:v>
                </c:pt>
                <c:pt idx="16">
                  <c:v>-36302.13923327568</c:v>
                </c:pt>
                <c:pt idx="17">
                  <c:v>-15837.637046059943</c:v>
                </c:pt>
                <c:pt idx="18">
                  <c:v>3652.3650370026626</c:v>
                </c:pt>
                <c:pt idx="19">
                  <c:v>22214.271782776574</c:v>
                </c:pt>
                <c:pt idx="20">
                  <c:v>28924.79425571884</c:v>
                </c:pt>
                <c:pt idx="21">
                  <c:v>37375.648534556647</c:v>
                </c:pt>
                <c:pt idx="22">
                  <c:v>47385.872128767194</c:v>
                </c:pt>
                <c:pt idx="23">
                  <c:v>64996.069273934627</c:v>
                </c:pt>
              </c:numCache>
            </c:numRef>
          </c:yVal>
          <c:smooth val="0"/>
          <c:extLst>
            <c:ext xmlns:c16="http://schemas.microsoft.com/office/drawing/2014/chart" uri="{C3380CC4-5D6E-409C-BE32-E72D297353CC}">
              <c16:uniqueId val="{00000000-1601-4BB6-9BD3-1B38D7CF5C95}"/>
            </c:ext>
          </c:extLst>
        </c:ser>
        <c:dLbls>
          <c:showLegendKey val="0"/>
          <c:showVal val="0"/>
          <c:showCatName val="0"/>
          <c:showSerName val="0"/>
          <c:showPercent val="0"/>
          <c:showBubbleSize val="0"/>
        </c:dLbls>
        <c:axId val="1529386416"/>
        <c:axId val="104034992"/>
      </c:scatterChart>
      <c:valAx>
        <c:axId val="1529386416"/>
        <c:scaling>
          <c:orientation val="minMax"/>
        </c:scaling>
        <c:delete val="0"/>
        <c:axPos val="b"/>
        <c:title>
          <c:tx>
            <c:rich>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fi-FI" sz="1600"/>
                  <a:t>Vuodet</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fi-F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fi-FI"/>
          </a:p>
        </c:txPr>
        <c:crossAx val="104034992"/>
        <c:crosses val="autoZero"/>
        <c:crossBetween val="midCat"/>
      </c:valAx>
      <c:valAx>
        <c:axId val="1040349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fi-FI" sz="1600"/>
                  <a:t>€</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fi-FI"/>
            </a:p>
          </c:txPr>
        </c:title>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fi-FI"/>
          </a:p>
        </c:txPr>
        <c:crossAx val="1529386416"/>
        <c:crosses val="autoZero"/>
        <c:crossBetween val="midCat"/>
      </c:valAx>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9525" cap="flat" cmpd="sng" algn="ctr">
      <a:solidFill>
        <a:schemeClr val="tx1">
          <a:lumMod val="15000"/>
          <a:lumOff val="85000"/>
        </a:schemeClr>
      </a:solidFill>
      <a:round/>
    </a:ln>
    <a:effectLst/>
  </c:spPr>
  <c:txPr>
    <a:bodyPr/>
    <a:lstStyle/>
    <a:p>
      <a:pPr>
        <a:defRPr/>
      </a:pPr>
      <a:endParaRPr lang="fi-FI"/>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EB6E910-3B41-4FCB-9D82-07EA0DB16FBE}">
  <sheetPr/>
  <sheetViews>
    <sheetView zoomScale="115"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36</xdr:col>
      <xdr:colOff>571500</xdr:colOff>
      <xdr:row>81</xdr:row>
      <xdr:rowOff>119063</xdr:rowOff>
    </xdr:from>
    <xdr:to>
      <xdr:col>55</xdr:col>
      <xdr:colOff>363595</xdr:colOff>
      <xdr:row>103</xdr:row>
      <xdr:rowOff>34817</xdr:rowOff>
    </xdr:to>
    <xdr:pic>
      <xdr:nvPicPr>
        <xdr:cNvPr id="3" name="Kuva 2">
          <a:extLst>
            <a:ext uri="{FF2B5EF4-FFF2-40B4-BE49-F238E27FC236}">
              <a16:creationId xmlns:a16="http://schemas.microsoft.com/office/drawing/2014/main" id="{6CCAC12C-2082-4D67-8093-A7BDF6ED6B33}"/>
            </a:ext>
          </a:extLst>
        </xdr:cNvPr>
        <xdr:cNvPicPr>
          <a:picLocks noChangeAspect="1"/>
        </xdr:cNvPicPr>
      </xdr:nvPicPr>
      <xdr:blipFill>
        <a:blip xmlns:r="http://schemas.openxmlformats.org/officeDocument/2006/relationships" r:embed="rId1"/>
        <a:stretch>
          <a:fillRect/>
        </a:stretch>
      </xdr:blipFill>
      <xdr:spPr>
        <a:xfrm>
          <a:off x="30508575" y="20886738"/>
          <a:ext cx="11879319" cy="38813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13947913" cy="9110870"/>
    <xdr:graphicFrame macro="">
      <xdr:nvGraphicFramePr>
        <xdr:cNvPr id="2" name="Kaavio 1">
          <a:extLst>
            <a:ext uri="{FF2B5EF4-FFF2-40B4-BE49-F238E27FC236}">
              <a16:creationId xmlns:a16="http://schemas.microsoft.com/office/drawing/2014/main" id="{37A07CF6-AA2F-B752-3A8F-ADB677E4CDB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EB46C4-AEAE-4326-975A-7E497E703CD1}" name="Taulukko2" displayName="Taulukko2" ref="A4:E26" totalsRowShown="0" headerRowDxfId="11" dataDxfId="10">
  <autoFilter ref="A4:E26" xr:uid="{B6EB46C4-AEAE-4326-975A-7E497E703CD1}"/>
  <tableColumns count="5">
    <tableColumn id="1" xr3:uid="{473FBCE5-A460-4B0D-A834-753DDB85BA6D}" name="Työvaihe" dataDxfId="9" totalsRowDxfId="8"/>
    <tableColumn id="2" xr3:uid="{7E9045F0-405A-4B57-88B8-EC048331EF1B}" name="Kustannus €/ha" dataDxfId="7" totalsRowDxfId="6"/>
    <tableColumn id="5" xr3:uid="{F62040EF-DB8D-4A9B-BA5F-59E6668E4D74}" name="Lähde" dataDxfId="5"/>
    <tableColumn id="3" xr3:uid="{7D9A243D-7265-456B-B3EA-187F036082D1}" name="Lisätietoa" dataDxfId="4"/>
    <tableColumn id="6" xr3:uid="{B1DDF7A1-747A-45B9-B703-8FEA08BA4663}" name="Vaihtoehtoisia kustannustietoja" dataDxfId="3"/>
  </tableColumns>
  <tableStyleInfo name="TableStyleMedium17"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0152D5-E1B9-48C9-8EB2-883E0C31C4BF}" name="Taulukko1" displayName="Taulukko1" ref="A9:C19" totalsRowShown="0" tableBorderDxfId="2">
  <autoFilter ref="A9:C19" xr:uid="{5D0152D5-E1B9-48C9-8EB2-883E0C31C4BF}"/>
  <tableColumns count="3">
    <tableColumn id="1" xr3:uid="{CCE18980-4C9B-47D2-A1DD-1B0D98D32DDE}" name="PAJUHAKKEEN ARVO ENERGIAPUUNA, LASKENTATAULUKKO" dataDxfId="1"/>
    <tableColumn id="2" xr3:uid="{1ECF3363-5402-49D6-AA63-A8F7D98477BF}" name="Sarake1"/>
    <tableColumn id="3" xr3:uid="{0F544341-A4E5-4C9F-BAF9-95A8FE49DE96}" name="Sarake2"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urn.fi/URN:ISBN:978-952-380-368-8" TargetMode="External"/><Relationship Id="rId2" Type="http://schemas.openxmlformats.org/officeDocument/2006/relationships/hyperlink" Target="https://www.pajuenergia.fi/wp-content/uploads/2024/05/nielupajukon-normilaskentaa.pdf" TargetMode="External"/><Relationship Id="rId1" Type="http://schemas.openxmlformats.org/officeDocument/2006/relationships/hyperlink" Target="https://www.abo.fi/wp-content/uploads/2025/05/infosheet3_part2_secure-bio-supply-fin.pdf"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4E07C-62E2-4517-8E5D-82903DA7E51D}">
  <dimension ref="A1:A27"/>
  <sheetViews>
    <sheetView workbookViewId="0">
      <selection activeCell="A17" sqref="A17"/>
    </sheetView>
  </sheetViews>
  <sheetFormatPr defaultRowHeight="14.5" x14ac:dyDescent="0.35"/>
  <cols>
    <col min="1" max="1" width="231.36328125" customWidth="1"/>
  </cols>
  <sheetData>
    <row r="1" spans="1:1" ht="17.5" x14ac:dyDescent="0.35">
      <c r="A1" s="130" t="s">
        <v>147</v>
      </c>
    </row>
    <row r="3" spans="1:1" ht="18.5" x14ac:dyDescent="0.45">
      <c r="A3" s="131" t="s">
        <v>129</v>
      </c>
    </row>
    <row r="4" spans="1:1" ht="15.5" x14ac:dyDescent="0.35">
      <c r="A4" s="132" t="s">
        <v>130</v>
      </c>
    </row>
    <row r="5" spans="1:1" s="107" customFormat="1" ht="34" customHeight="1" x14ac:dyDescent="0.35">
      <c r="A5" s="52" t="s">
        <v>131</v>
      </c>
    </row>
    <row r="7" spans="1:1" ht="18.5" x14ac:dyDescent="0.45">
      <c r="A7" s="131" t="s">
        <v>132</v>
      </c>
    </row>
    <row r="8" spans="1:1" x14ac:dyDescent="0.35">
      <c r="A8" t="s">
        <v>133</v>
      </c>
    </row>
    <row r="10" spans="1:1" ht="18.5" x14ac:dyDescent="0.45">
      <c r="A10" s="131" t="s">
        <v>134</v>
      </c>
    </row>
    <row r="11" spans="1:1" ht="15.5" x14ac:dyDescent="0.35">
      <c r="A11" s="132" t="s">
        <v>135</v>
      </c>
    </row>
    <row r="12" spans="1:1" ht="15.5" x14ac:dyDescent="0.35">
      <c r="A12" s="133" t="s">
        <v>142</v>
      </c>
    </row>
    <row r="13" spans="1:1" ht="15.5" x14ac:dyDescent="0.35">
      <c r="A13" s="133" t="s">
        <v>143</v>
      </c>
    </row>
    <row r="14" spans="1:1" x14ac:dyDescent="0.35">
      <c r="A14" t="s">
        <v>156</v>
      </c>
    </row>
    <row r="15" spans="1:1" ht="15.5" x14ac:dyDescent="0.35">
      <c r="A15" s="132" t="s">
        <v>136</v>
      </c>
    </row>
    <row r="17" spans="1:1" ht="18.5" x14ac:dyDescent="0.45">
      <c r="A17" s="131" t="s">
        <v>137</v>
      </c>
    </row>
    <row r="18" spans="1:1" ht="15.5" x14ac:dyDescent="0.35">
      <c r="A18" s="132" t="s">
        <v>144</v>
      </c>
    </row>
    <row r="19" spans="1:1" ht="15.5" x14ac:dyDescent="0.35">
      <c r="A19" s="132" t="s">
        <v>138</v>
      </c>
    </row>
    <row r="21" spans="1:1" ht="18.5" x14ac:dyDescent="0.45">
      <c r="A21" s="131" t="s">
        <v>139</v>
      </c>
    </row>
    <row r="22" spans="1:1" s="107" customFormat="1" ht="34" customHeight="1" x14ac:dyDescent="0.35">
      <c r="A22" s="134" t="s">
        <v>145</v>
      </c>
    </row>
    <row r="23" spans="1:1" ht="15.5" x14ac:dyDescent="0.35">
      <c r="A23" s="23" t="s">
        <v>146</v>
      </c>
    </row>
    <row r="24" spans="1:1" s="107" customFormat="1" ht="34" customHeight="1" x14ac:dyDescent="0.35">
      <c r="A24" s="134" t="s">
        <v>148</v>
      </c>
    </row>
    <row r="26" spans="1:1" ht="18.5" x14ac:dyDescent="0.45">
      <c r="A26" s="131" t="s">
        <v>140</v>
      </c>
    </row>
    <row r="27" spans="1:1" ht="34" customHeight="1" x14ac:dyDescent="0.35">
      <c r="A27" s="52" t="s">
        <v>141</v>
      </c>
    </row>
  </sheetData>
  <sheetProtection algorithmName="SHA-512" hashValue="DrXTR1rrRoB89f+e2UUP2+fI9nGwytYRuDPXR49ko6+OZwkq48WvotsBl88Hxng2IWM9A7EKJXvQvV9KKI+dpw==" saltValue="3WqmZ55navjXJHC305r7Y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3180-1D97-4A89-9958-B0E24ADC61AC}">
  <dimension ref="A1:AG139"/>
  <sheetViews>
    <sheetView tabSelected="1" zoomScale="85" zoomScaleNormal="85" workbookViewId="0">
      <selection activeCell="A13" sqref="A13"/>
    </sheetView>
  </sheetViews>
  <sheetFormatPr defaultRowHeight="14.5" x14ac:dyDescent="0.35"/>
  <cols>
    <col min="1" max="1" width="51.1796875" customWidth="1"/>
    <col min="2" max="2" width="15.36328125" customWidth="1"/>
    <col min="3" max="4" width="12.54296875" customWidth="1"/>
    <col min="5" max="5" width="14.1796875" customWidth="1"/>
    <col min="6" max="6" width="13.1796875" customWidth="1"/>
    <col min="7" max="7" width="10.453125" customWidth="1"/>
    <col min="8" max="9" width="13.54296875" customWidth="1"/>
    <col min="10" max="10" width="13.1796875" customWidth="1"/>
    <col min="11" max="11" width="10.1796875" customWidth="1"/>
    <col min="12" max="12" width="10.54296875" customWidth="1"/>
    <col min="13" max="13" width="13" customWidth="1"/>
    <col min="14" max="14" width="11.54296875" customWidth="1"/>
    <col min="15" max="15" width="10.453125" customWidth="1"/>
    <col min="16" max="16" width="9.1796875" customWidth="1"/>
    <col min="17" max="17" width="8.81640625" customWidth="1"/>
    <col min="18" max="18" width="12" customWidth="1"/>
    <col min="19" max="19" width="9" customWidth="1"/>
    <col min="20" max="24" width="10.1796875" bestFit="1" customWidth="1"/>
    <col min="25" max="25" width="12.26953125" customWidth="1"/>
    <col min="26" max="26" width="23.81640625" customWidth="1"/>
    <col min="27" max="27" width="24.453125" customWidth="1"/>
    <col min="28" max="28" width="8.81640625" customWidth="1"/>
    <col min="29" max="31" width="9" bestFit="1" customWidth="1"/>
    <col min="32" max="39" width="10" bestFit="1" customWidth="1"/>
    <col min="40" max="40" width="10.54296875" bestFit="1" customWidth="1"/>
    <col min="42" max="42" width="10.54296875" bestFit="1" customWidth="1"/>
  </cols>
  <sheetData>
    <row r="1" spans="1:26" ht="23.5" x14ac:dyDescent="0.55000000000000004">
      <c r="A1" s="47" t="s">
        <v>114</v>
      </c>
      <c r="B1" s="46"/>
      <c r="C1" s="46"/>
      <c r="D1" s="46"/>
      <c r="E1" s="46"/>
      <c r="F1" s="46"/>
      <c r="O1" s="22"/>
    </row>
    <row r="2" spans="1:26" ht="25.5" customHeight="1" x14ac:dyDescent="0.45">
      <c r="A2" s="23" t="s">
        <v>123</v>
      </c>
      <c r="B2" s="45"/>
      <c r="C2" s="4"/>
    </row>
    <row r="3" spans="1:26" x14ac:dyDescent="0.35">
      <c r="A3" s="1"/>
    </row>
    <row r="4" spans="1:26" ht="32" customHeight="1" x14ac:dyDescent="0.45">
      <c r="A4" s="10" t="s">
        <v>71</v>
      </c>
      <c r="B4" s="67">
        <v>0.05</v>
      </c>
      <c r="C4" t="s">
        <v>115</v>
      </c>
      <c r="O4" s="22"/>
    </row>
    <row r="5" spans="1:26" ht="18.5" x14ac:dyDescent="0.45">
      <c r="A5" s="4"/>
      <c r="B5" s="60"/>
      <c r="O5" s="22"/>
    </row>
    <row r="6" spans="1:26" ht="17.5" customHeight="1" x14ac:dyDescent="0.45">
      <c r="A6" s="4"/>
      <c r="B6" s="60"/>
      <c r="O6" s="22"/>
    </row>
    <row r="7" spans="1:26" ht="32.5" customHeight="1" x14ac:dyDescent="0.5">
      <c r="A7" s="63" t="s">
        <v>116</v>
      </c>
    </row>
    <row r="8" spans="1:26" ht="18.5" x14ac:dyDescent="0.45">
      <c r="A8" s="61" t="s">
        <v>117</v>
      </c>
      <c r="B8" s="65">
        <f>NPV(B4,C45:Y45)+B45</f>
        <v>64996.069273934481</v>
      </c>
      <c r="C8" s="61"/>
    </row>
    <row r="9" spans="1:26" ht="18.5" x14ac:dyDescent="0.45">
      <c r="A9" s="61" t="s">
        <v>118</v>
      </c>
      <c r="B9" s="64">
        <f>IRR(B45:Y45)</f>
        <v>6.5959561548174062E-2</v>
      </c>
      <c r="C9" s="61"/>
    </row>
    <row r="10" spans="1:26" ht="18.5" x14ac:dyDescent="0.45">
      <c r="A10" s="62" t="s">
        <v>61</v>
      </c>
      <c r="B10" s="66" cm="1">
        <f t="array" ref="B10">MATCH(TRUE,B53:Y53&gt;0,0)-1</f>
        <v>18</v>
      </c>
      <c r="C10" s="61" t="s">
        <v>37</v>
      </c>
    </row>
    <row r="12" spans="1:26" ht="24.75" customHeight="1" thickBot="1" x14ac:dyDescent="0.5">
      <c r="A12" s="27" t="s">
        <v>157</v>
      </c>
    </row>
    <row r="13" spans="1:26" ht="15" thickTop="1" x14ac:dyDescent="0.35">
      <c r="A13" s="8"/>
      <c r="B13" t="s">
        <v>39</v>
      </c>
    </row>
    <row r="14" spans="1:26" ht="15.5" x14ac:dyDescent="0.35">
      <c r="A14" s="68" t="s">
        <v>40</v>
      </c>
      <c r="B14" s="69">
        <v>0</v>
      </c>
      <c r="C14" s="69">
        <v>1</v>
      </c>
      <c r="D14" s="69">
        <v>2</v>
      </c>
      <c r="E14" s="69">
        <v>3</v>
      </c>
      <c r="F14" s="70">
        <v>4</v>
      </c>
      <c r="G14" s="69">
        <v>5</v>
      </c>
      <c r="H14" s="69">
        <v>6</v>
      </c>
      <c r="I14" s="69">
        <v>7</v>
      </c>
      <c r="J14" s="70">
        <v>8</v>
      </c>
      <c r="K14" s="69">
        <v>9</v>
      </c>
      <c r="L14" s="69">
        <v>10</v>
      </c>
      <c r="M14" s="69">
        <v>11</v>
      </c>
      <c r="N14" s="70">
        <v>12</v>
      </c>
      <c r="O14" s="69">
        <v>13</v>
      </c>
      <c r="P14" s="69">
        <v>14</v>
      </c>
      <c r="Q14" s="69">
        <v>15</v>
      </c>
      <c r="R14" s="70">
        <v>16</v>
      </c>
      <c r="S14" s="69">
        <v>17</v>
      </c>
      <c r="T14" s="69">
        <v>18</v>
      </c>
      <c r="U14" s="69">
        <v>19</v>
      </c>
      <c r="V14" s="70">
        <v>20</v>
      </c>
      <c r="W14" s="69">
        <v>21</v>
      </c>
      <c r="X14" s="69">
        <v>22</v>
      </c>
      <c r="Y14" s="71">
        <v>23</v>
      </c>
      <c r="Z14" s="72"/>
    </row>
    <row r="15" spans="1:26" ht="15" thickBot="1" x14ac:dyDescent="0.4">
      <c r="A15" s="73" t="s">
        <v>124</v>
      </c>
      <c r="B15" s="74"/>
      <c r="C15" s="74"/>
      <c r="D15" s="74"/>
      <c r="E15" s="74"/>
      <c r="F15" s="74"/>
      <c r="G15" s="74"/>
      <c r="H15" s="74"/>
      <c r="I15" s="74"/>
      <c r="J15" s="74"/>
      <c r="K15" s="74"/>
      <c r="L15" s="74"/>
      <c r="M15" s="74"/>
      <c r="N15" s="74"/>
      <c r="O15" s="74"/>
      <c r="P15" s="74"/>
      <c r="Q15" s="74"/>
      <c r="R15" s="74"/>
      <c r="S15" s="74"/>
      <c r="T15" s="74"/>
      <c r="U15" s="74"/>
      <c r="V15" s="74"/>
      <c r="W15" s="74"/>
      <c r="X15" s="74"/>
      <c r="Y15" s="75"/>
      <c r="Z15" s="72"/>
    </row>
    <row r="16" spans="1:26" x14ac:dyDescent="0.35">
      <c r="A16" s="76" t="s">
        <v>41</v>
      </c>
      <c r="B16" s="72"/>
      <c r="C16" s="72"/>
      <c r="D16" s="72"/>
      <c r="E16" s="72"/>
      <c r="F16" s="72"/>
      <c r="G16" s="72"/>
      <c r="H16" s="72"/>
      <c r="I16" s="72"/>
      <c r="J16" s="72"/>
      <c r="K16" s="72"/>
      <c r="L16" s="72"/>
      <c r="M16" s="72"/>
      <c r="N16" s="72"/>
      <c r="O16" s="72"/>
      <c r="P16" s="72"/>
      <c r="Q16" s="72"/>
      <c r="R16" s="72"/>
      <c r="S16" s="72"/>
      <c r="T16" s="72"/>
      <c r="U16" s="72"/>
      <c r="V16" s="72"/>
      <c r="W16" s="72"/>
      <c r="X16" s="72"/>
      <c r="Y16" s="77"/>
      <c r="Z16" s="72"/>
    </row>
    <row r="17" spans="1:28" x14ac:dyDescent="0.35">
      <c r="A17" s="77" t="s">
        <v>42</v>
      </c>
      <c r="B17" s="78">
        <f>Lähtötiedot_kustannukset!$B$6*25</f>
        <v>18810</v>
      </c>
      <c r="C17" s="78">
        <f>Lähtötiedot_kustannukset!$B$6*25</f>
        <v>18810</v>
      </c>
      <c r="D17" s="78">
        <f>Lähtötiedot_kustannukset!$B$6*25</f>
        <v>18810</v>
      </c>
      <c r="E17" s="78">
        <f>Lähtötiedot_kustannukset!$B$6*25</f>
        <v>18810</v>
      </c>
      <c r="F17" s="72"/>
      <c r="G17" s="72"/>
      <c r="H17" s="72"/>
      <c r="I17" s="72"/>
      <c r="J17" s="72"/>
      <c r="K17" s="72"/>
      <c r="L17" s="72"/>
      <c r="M17" s="72"/>
      <c r="N17" s="72"/>
      <c r="O17" s="72"/>
      <c r="P17" s="72"/>
      <c r="Q17" s="72"/>
      <c r="R17" s="72"/>
      <c r="S17" s="72"/>
      <c r="T17" s="72"/>
      <c r="U17" s="72"/>
      <c r="V17" s="72"/>
      <c r="W17" s="72"/>
      <c r="X17" s="72"/>
      <c r="Y17" s="77"/>
      <c r="Z17" s="72"/>
    </row>
    <row r="18" spans="1:28" x14ac:dyDescent="0.35">
      <c r="A18" s="77" t="s">
        <v>10</v>
      </c>
      <c r="B18" s="72">
        <f>Lähtötiedot_kustannukset!$B$7*25</f>
        <v>1100</v>
      </c>
      <c r="C18" s="72">
        <f>Lähtötiedot_kustannukset!$B$7*25</f>
        <v>1100</v>
      </c>
      <c r="D18" s="72">
        <f>Lähtötiedot_kustannukset!$B$7*25</f>
        <v>1100</v>
      </c>
      <c r="E18" s="72">
        <f>Lähtötiedot_kustannukset!$B$7*25</f>
        <v>1100</v>
      </c>
      <c r="F18" s="72"/>
      <c r="G18" s="72"/>
      <c r="H18" s="72"/>
      <c r="I18" s="72"/>
      <c r="J18" s="72"/>
      <c r="K18" s="72"/>
      <c r="L18" s="72"/>
      <c r="M18" s="72"/>
      <c r="N18" s="72"/>
      <c r="O18" s="72"/>
      <c r="P18" s="72"/>
      <c r="Q18" s="72"/>
      <c r="R18" s="72"/>
      <c r="S18" s="72"/>
      <c r="T18" s="72"/>
      <c r="U18" s="72"/>
      <c r="V18" s="72"/>
      <c r="W18" s="72"/>
      <c r="X18" s="72"/>
      <c r="Y18" s="77"/>
      <c r="Z18" s="72"/>
    </row>
    <row r="19" spans="1:28" ht="15" customHeight="1" x14ac:dyDescent="0.35">
      <c r="A19" s="77" t="s">
        <v>12</v>
      </c>
      <c r="B19" s="79">
        <f>Lähtötiedot_kustannukset!$B$8*25</f>
        <v>3771</v>
      </c>
      <c r="C19" s="79">
        <f>Lähtötiedot_kustannukset!$B$8*25</f>
        <v>3771</v>
      </c>
      <c r="D19" s="79">
        <f>Lähtötiedot_kustannukset!$B$8*25</f>
        <v>3771</v>
      </c>
      <c r="E19" s="79">
        <f>Lähtötiedot_kustannukset!$B$8*25</f>
        <v>3771</v>
      </c>
      <c r="F19" s="72"/>
      <c r="G19" s="72"/>
      <c r="H19" s="72"/>
      <c r="I19" s="72"/>
      <c r="J19" s="72"/>
      <c r="K19" s="72"/>
      <c r="L19" s="72"/>
      <c r="M19" s="72"/>
      <c r="N19" s="72"/>
      <c r="O19" s="72"/>
      <c r="P19" s="72"/>
      <c r="Q19" s="72"/>
      <c r="R19" s="72"/>
      <c r="S19" s="72"/>
      <c r="T19" s="72"/>
      <c r="U19" s="72"/>
      <c r="V19" s="72"/>
      <c r="W19" s="72"/>
      <c r="X19" s="72"/>
      <c r="Y19" s="77"/>
      <c r="Z19" s="72"/>
    </row>
    <row r="20" spans="1:28" x14ac:dyDescent="0.35">
      <c r="A20" s="80" t="s">
        <v>43</v>
      </c>
      <c r="B20" s="79">
        <f>Lähtötiedot_kustannukset!$B$9*25</f>
        <v>5416.666666666667</v>
      </c>
      <c r="C20" s="79">
        <f>Lähtötiedot_kustannukset!$B$9*25</f>
        <v>5416.666666666667</v>
      </c>
      <c r="D20" s="79">
        <f>Lähtötiedot_kustannukset!$B$9*25</f>
        <v>5416.666666666667</v>
      </c>
      <c r="E20" s="79">
        <f>Lähtötiedot_kustannukset!$B$9*25</f>
        <v>5416.666666666667</v>
      </c>
      <c r="F20" s="72"/>
      <c r="G20" s="72"/>
      <c r="H20" s="72"/>
      <c r="I20" s="72"/>
      <c r="J20" s="72"/>
      <c r="K20" s="72"/>
      <c r="L20" s="72"/>
      <c r="M20" s="72"/>
      <c r="N20" s="72"/>
      <c r="O20" s="72"/>
      <c r="P20" s="72"/>
      <c r="Q20" s="72"/>
      <c r="R20" s="72"/>
      <c r="S20" s="72"/>
      <c r="T20" s="72"/>
      <c r="U20" s="72"/>
      <c r="V20" s="72"/>
      <c r="W20" s="72"/>
      <c r="X20" s="72"/>
      <c r="Y20" s="77"/>
      <c r="Z20" s="72"/>
    </row>
    <row r="21" spans="1:28" x14ac:dyDescent="0.35">
      <c r="A21" s="77" t="s">
        <v>18</v>
      </c>
      <c r="B21" s="72"/>
      <c r="C21" s="79">
        <f>Lähtötiedot_kustannukset!$B$20*25</f>
        <v>19068.875</v>
      </c>
      <c r="D21" s="79">
        <f>Lähtötiedot_kustannukset!$B$20*25</f>
        <v>19068.875</v>
      </c>
      <c r="E21" s="79">
        <f>Lähtötiedot_kustannukset!$B$20*25</f>
        <v>19068.875</v>
      </c>
      <c r="F21" s="79">
        <f>Lähtötiedot_kustannukset!$B$20*25</f>
        <v>19068.875</v>
      </c>
      <c r="G21" s="72"/>
      <c r="H21" s="72"/>
      <c r="I21" s="72"/>
      <c r="J21" s="72"/>
      <c r="K21" s="72"/>
      <c r="L21" s="72"/>
      <c r="M21" s="72"/>
      <c r="N21" s="72"/>
      <c r="O21" s="72"/>
      <c r="P21" s="72"/>
      <c r="Q21" s="72"/>
      <c r="R21" s="72"/>
      <c r="S21" s="72"/>
      <c r="T21" s="72"/>
      <c r="U21" s="72"/>
      <c r="V21" s="72"/>
      <c r="W21" s="72"/>
      <c r="X21" s="72"/>
      <c r="Y21" s="77"/>
      <c r="Z21" s="72"/>
    </row>
    <row r="22" spans="1:28" x14ac:dyDescent="0.35">
      <c r="A22" s="76" t="s">
        <v>44</v>
      </c>
      <c r="B22" s="72"/>
      <c r="C22" s="72"/>
      <c r="D22" s="72"/>
      <c r="E22" s="72"/>
      <c r="F22" s="72"/>
      <c r="G22" s="72"/>
      <c r="H22" s="72"/>
      <c r="I22" s="72"/>
      <c r="J22" s="72"/>
      <c r="K22" s="72"/>
      <c r="L22" s="72"/>
      <c r="M22" s="72"/>
      <c r="N22" s="72"/>
      <c r="O22" s="72"/>
      <c r="P22" s="72"/>
      <c r="Q22" s="72"/>
      <c r="R22" s="72"/>
      <c r="S22" s="72"/>
      <c r="T22" s="72"/>
      <c r="U22" s="72"/>
      <c r="V22" s="72"/>
      <c r="W22" s="72"/>
      <c r="X22" s="72"/>
      <c r="Y22" s="77"/>
      <c r="Z22" s="72"/>
    </row>
    <row r="23" spans="1:28" x14ac:dyDescent="0.35">
      <c r="A23" s="77" t="s">
        <v>25</v>
      </c>
      <c r="B23" s="72">
        <f>Lähtötiedot_kustannukset!$B$14*25</f>
        <v>39000</v>
      </c>
      <c r="C23" s="72">
        <f>Lähtötiedot_kustannukset!$B$14*25</f>
        <v>39000</v>
      </c>
      <c r="D23" s="72">
        <f>Lähtötiedot_kustannukset!$B$14*25</f>
        <v>39000</v>
      </c>
      <c r="E23" s="72">
        <f>Lähtötiedot_kustannukset!$B$14*25</f>
        <v>39000</v>
      </c>
      <c r="F23" s="72"/>
      <c r="G23" s="72"/>
      <c r="H23" s="72"/>
      <c r="I23" s="72"/>
      <c r="J23" s="72"/>
      <c r="K23" s="72"/>
      <c r="L23" s="72"/>
      <c r="M23" s="72"/>
      <c r="N23" s="72"/>
      <c r="O23" s="72"/>
      <c r="P23" s="72"/>
      <c r="Q23" s="72"/>
      <c r="R23" s="72"/>
      <c r="S23" s="72"/>
      <c r="T23" s="72"/>
      <c r="U23" s="72"/>
      <c r="V23" s="72"/>
      <c r="W23" s="72"/>
      <c r="X23" s="72"/>
      <c r="Y23" s="77"/>
      <c r="Z23" s="72"/>
    </row>
    <row r="24" spans="1:28" x14ac:dyDescent="0.35">
      <c r="A24" s="77" t="s">
        <v>45</v>
      </c>
      <c r="B24" s="79">
        <f>Lähtötiedot_kustannukset!$B$15*25</f>
        <v>10625</v>
      </c>
      <c r="C24" s="79">
        <f>Lähtötiedot_kustannukset!$B$15*25</f>
        <v>10625</v>
      </c>
      <c r="D24" s="79">
        <f>Lähtötiedot_kustannukset!$B$15*25</f>
        <v>10625</v>
      </c>
      <c r="E24" s="79">
        <f>Lähtötiedot_kustannukset!$B$15*25</f>
        <v>10625</v>
      </c>
      <c r="F24" s="72"/>
      <c r="G24" s="72"/>
      <c r="H24" s="72"/>
      <c r="I24" s="72"/>
      <c r="J24" s="72"/>
      <c r="K24" s="72"/>
      <c r="L24" s="72"/>
      <c r="M24" s="72"/>
      <c r="N24" s="72"/>
      <c r="O24" s="72"/>
      <c r="P24" s="72"/>
      <c r="Q24" s="72"/>
      <c r="R24" s="72"/>
      <c r="S24" s="72"/>
      <c r="T24" s="72"/>
      <c r="U24" s="72"/>
      <c r="V24" s="72"/>
      <c r="W24" s="72"/>
      <c r="X24" s="72"/>
      <c r="Y24" s="77"/>
      <c r="Z24" s="72"/>
    </row>
    <row r="25" spans="1:28" x14ac:dyDescent="0.35">
      <c r="A25" s="77" t="s">
        <v>29</v>
      </c>
      <c r="B25" s="72"/>
      <c r="C25" s="72">
        <f>Lähtötiedot_kustannukset!$B$16*25</f>
        <v>1150</v>
      </c>
      <c r="D25" s="72">
        <f>Lähtötiedot_kustannukset!$B$16*25</f>
        <v>1150</v>
      </c>
      <c r="E25" s="72">
        <f>Lähtötiedot_kustannukset!$B$16*25</f>
        <v>1150</v>
      </c>
      <c r="F25" s="72">
        <f>Lähtötiedot_kustannukset!$B$16*25</f>
        <v>1150</v>
      </c>
      <c r="G25" s="72"/>
      <c r="H25" s="72"/>
      <c r="I25" s="72"/>
      <c r="J25" s="72"/>
      <c r="K25" s="72"/>
      <c r="L25" s="72"/>
      <c r="M25" s="72"/>
      <c r="N25" s="72"/>
      <c r="O25" s="72"/>
      <c r="P25" s="72"/>
      <c r="Q25" s="72"/>
      <c r="R25" s="72"/>
      <c r="S25" s="72"/>
      <c r="T25" s="72"/>
      <c r="U25" s="72"/>
      <c r="V25" s="72"/>
      <c r="W25" s="72"/>
      <c r="X25" s="72"/>
      <c r="Y25" s="77"/>
      <c r="Z25" s="72"/>
    </row>
    <row r="26" spans="1:28" x14ac:dyDescent="0.35">
      <c r="A26" s="76" t="s">
        <v>30</v>
      </c>
      <c r="B26" s="72"/>
      <c r="C26" s="72"/>
      <c r="D26" s="72"/>
      <c r="E26" s="72"/>
      <c r="F26" s="72"/>
      <c r="G26" s="72"/>
      <c r="H26" s="72"/>
      <c r="I26" s="72"/>
      <c r="J26" s="72"/>
      <c r="K26" s="72"/>
      <c r="L26" s="72"/>
      <c r="M26" s="72"/>
      <c r="N26" s="72"/>
      <c r="O26" s="72"/>
      <c r="P26" s="72"/>
      <c r="Q26" s="72"/>
      <c r="R26" s="72"/>
      <c r="S26" s="72"/>
      <c r="T26" s="72"/>
      <c r="U26" s="72"/>
      <c r="V26" s="72"/>
      <c r="W26" s="72"/>
      <c r="X26" s="72"/>
      <c r="Y26" s="77"/>
      <c r="Z26" s="72"/>
    </row>
    <row r="27" spans="1:28" x14ac:dyDescent="0.35">
      <c r="A27" s="77" t="s">
        <v>79</v>
      </c>
      <c r="B27" s="72"/>
      <c r="C27" s="72"/>
      <c r="D27" s="72"/>
      <c r="E27" s="72"/>
      <c r="F27" s="79">
        <f>Lähtötiedot_kustannukset!$B$18*25</f>
        <v>25160</v>
      </c>
      <c r="G27" s="79">
        <f>Lähtötiedot_kustannukset!$B$18*25</f>
        <v>25160</v>
      </c>
      <c r="H27" s="79">
        <f>Lähtötiedot_kustannukset!$B$18*25</f>
        <v>25160</v>
      </c>
      <c r="I27" s="79">
        <f>Lähtötiedot_kustannukset!$B$18*25</f>
        <v>25160</v>
      </c>
      <c r="J27" s="79">
        <f>Lähtötiedot_kustannukset!$B$18*25</f>
        <v>25160</v>
      </c>
      <c r="K27" s="79">
        <f>Lähtötiedot_kustannukset!$B$18*25</f>
        <v>25160</v>
      </c>
      <c r="L27" s="79">
        <f>Lähtötiedot_kustannukset!$B$18*25</f>
        <v>25160</v>
      </c>
      <c r="M27" s="79">
        <f>Lähtötiedot_kustannukset!$B$18*25</f>
        <v>25160</v>
      </c>
      <c r="N27" s="79">
        <f>Lähtötiedot_kustannukset!$B$18*25</f>
        <v>25160</v>
      </c>
      <c r="O27" s="79">
        <f>Lähtötiedot_kustannukset!$B$18*25</f>
        <v>25160</v>
      </c>
      <c r="P27" s="79">
        <f>Lähtötiedot_kustannukset!$B$18*25</f>
        <v>25160</v>
      </c>
      <c r="Q27" s="79">
        <f>Lähtötiedot_kustannukset!$B$18*25</f>
        <v>25160</v>
      </c>
      <c r="R27" s="79">
        <f>Lähtötiedot_kustannukset!$B$18*25</f>
        <v>25160</v>
      </c>
      <c r="S27" s="79">
        <f>Lähtötiedot_kustannukset!$B$18*25</f>
        <v>25160</v>
      </c>
      <c r="T27" s="79">
        <f>Lähtötiedot_kustannukset!$B$18*25</f>
        <v>25160</v>
      </c>
      <c r="U27" s="79">
        <f>Lähtötiedot_kustannukset!$B$18*25</f>
        <v>25160</v>
      </c>
      <c r="V27" s="79">
        <f>Lähtötiedot_kustannukset!$B$18*25</f>
        <v>25160</v>
      </c>
      <c r="W27" s="79">
        <f>Lähtötiedot_kustannukset!$B$18*25</f>
        <v>25160</v>
      </c>
      <c r="X27" s="79">
        <f>Lähtötiedot_kustannukset!$B$18*25</f>
        <v>25160</v>
      </c>
      <c r="Y27" s="81">
        <f>Lähtötiedot_kustannukset!$B$18*25</f>
        <v>25160</v>
      </c>
      <c r="Z27" s="72"/>
    </row>
    <row r="28" spans="1:28" x14ac:dyDescent="0.35">
      <c r="A28" s="77" t="s">
        <v>46</v>
      </c>
      <c r="B28" s="72"/>
      <c r="C28" s="72"/>
      <c r="D28" s="72"/>
      <c r="E28" s="72"/>
      <c r="F28" s="79">
        <f>Lähtötiedot_kustannukset!$B$20*25</f>
        <v>19068.875</v>
      </c>
      <c r="G28" s="79">
        <f>Lähtötiedot_kustannukset!$B$20*25</f>
        <v>19068.875</v>
      </c>
      <c r="H28" s="79">
        <f>Lähtötiedot_kustannukset!$B$20*25</f>
        <v>19068.875</v>
      </c>
      <c r="I28" s="79">
        <f>Lähtötiedot_kustannukset!$B$20*25</f>
        <v>19068.875</v>
      </c>
      <c r="J28" s="79">
        <f>Lähtötiedot_kustannukset!$B$20*25</f>
        <v>19068.875</v>
      </c>
      <c r="K28" s="79">
        <f>Lähtötiedot_kustannukset!$B$20*25</f>
        <v>19068.875</v>
      </c>
      <c r="L28" s="79">
        <f>Lähtötiedot_kustannukset!$B$20*25</f>
        <v>19068.875</v>
      </c>
      <c r="M28" s="79">
        <f>Lähtötiedot_kustannukset!$B$20*25</f>
        <v>19068.875</v>
      </c>
      <c r="N28" s="79">
        <f>Lähtötiedot_kustannukset!$B$20*25</f>
        <v>19068.875</v>
      </c>
      <c r="O28" s="79">
        <f>Lähtötiedot_kustannukset!$B$20*25</f>
        <v>19068.875</v>
      </c>
      <c r="P28" s="79">
        <f>Lähtötiedot_kustannukset!$B$20*25</f>
        <v>19068.875</v>
      </c>
      <c r="Q28" s="79">
        <f>Lähtötiedot_kustannukset!$B$20*25</f>
        <v>19068.875</v>
      </c>
      <c r="R28" s="79">
        <f>Lähtötiedot_kustannukset!$B$20*25</f>
        <v>19068.875</v>
      </c>
      <c r="S28" s="79">
        <f>Lähtötiedot_kustannukset!$B$20*25</f>
        <v>19068.875</v>
      </c>
      <c r="T28" s="79">
        <f>Lähtötiedot_kustannukset!$B$20*25</f>
        <v>19068.875</v>
      </c>
      <c r="U28" s="79">
        <f>Lähtötiedot_kustannukset!$B$20*25</f>
        <v>19068.875</v>
      </c>
      <c r="V28" s="79">
        <f>Lähtötiedot_kustannukset!$B$20*25</f>
        <v>19068.875</v>
      </c>
      <c r="W28" s="79">
        <f>Lähtötiedot_kustannukset!$B$20*25</f>
        <v>19068.875</v>
      </c>
      <c r="X28" s="79">
        <f>Lähtötiedot_kustannukset!$B$20*25</f>
        <v>19068.875</v>
      </c>
      <c r="Y28" s="77"/>
      <c r="Z28" s="82"/>
    </row>
    <row r="29" spans="1:28" x14ac:dyDescent="0.35">
      <c r="A29" s="76" t="s">
        <v>32</v>
      </c>
      <c r="B29" s="72"/>
      <c r="C29" s="72"/>
      <c r="D29" s="72"/>
      <c r="E29" s="72"/>
      <c r="F29" s="72"/>
      <c r="G29" s="72"/>
      <c r="H29" s="72"/>
      <c r="I29" s="72"/>
      <c r="J29" s="72"/>
      <c r="K29" s="72"/>
      <c r="L29" s="72"/>
      <c r="M29" s="72"/>
      <c r="N29" s="72"/>
      <c r="O29" s="72"/>
      <c r="P29" s="72"/>
      <c r="Q29" s="72"/>
      <c r="R29" s="72"/>
      <c r="S29" s="72"/>
      <c r="T29" s="72"/>
      <c r="U29" s="72"/>
      <c r="V29" s="72"/>
      <c r="W29" s="72"/>
      <c r="X29" s="72"/>
      <c r="Y29" s="77"/>
      <c r="Z29" s="72"/>
    </row>
    <row r="30" spans="1:28" ht="18" customHeight="1" x14ac:dyDescent="0.35">
      <c r="A30" s="83" t="s">
        <v>33</v>
      </c>
      <c r="B30" s="72"/>
      <c r="C30" s="72"/>
      <c r="D30" s="72"/>
      <c r="E30" s="72"/>
      <c r="F30" s="72"/>
      <c r="G30" s="72"/>
      <c r="H30" s="72"/>
      <c r="I30" s="72"/>
      <c r="J30" s="72"/>
      <c r="K30" s="72"/>
      <c r="L30" s="72"/>
      <c r="M30" s="72"/>
      <c r="N30" s="72"/>
      <c r="O30" s="72"/>
      <c r="P30" s="72"/>
      <c r="Q30" s="72"/>
      <c r="R30" s="72"/>
      <c r="S30" s="72"/>
      <c r="T30" s="72"/>
      <c r="U30" s="72"/>
      <c r="V30" s="84">
        <f>Lähtötiedot_kustannukset!$B$22*25</f>
        <v>29100</v>
      </c>
      <c r="W30" s="84">
        <f>Lähtötiedot_kustannukset!$B$22*25</f>
        <v>29100</v>
      </c>
      <c r="X30" s="84">
        <f>Lähtötiedot_kustannukset!$B$22*25</f>
        <v>29100</v>
      </c>
      <c r="Y30" s="85">
        <f>Lähtötiedot_kustannukset!$B$22*25</f>
        <v>29100</v>
      </c>
      <c r="Z30" s="72"/>
    </row>
    <row r="31" spans="1:28" x14ac:dyDescent="0.35">
      <c r="A31" s="76" t="s">
        <v>34</v>
      </c>
      <c r="B31" s="72"/>
      <c r="C31" s="72"/>
      <c r="D31" s="72"/>
      <c r="E31" s="72"/>
      <c r="F31" s="72"/>
      <c r="G31" s="72"/>
      <c r="H31" s="72"/>
      <c r="I31" s="72"/>
      <c r="J31" s="72"/>
      <c r="K31" s="72"/>
      <c r="L31" s="72"/>
      <c r="M31" s="72"/>
      <c r="N31" s="72"/>
      <c r="O31" s="72"/>
      <c r="P31" s="72"/>
      <c r="Q31" s="72"/>
      <c r="R31" s="72"/>
      <c r="S31" s="72"/>
      <c r="T31" s="72"/>
      <c r="U31" s="72"/>
      <c r="V31" s="72"/>
      <c r="W31" s="72"/>
      <c r="X31" s="72"/>
      <c r="Y31" s="77"/>
      <c r="Z31" s="79"/>
      <c r="AA31" s="2"/>
      <c r="AB31" s="2"/>
    </row>
    <row r="32" spans="1:28" x14ac:dyDescent="0.35">
      <c r="A32" s="77" t="s">
        <v>35</v>
      </c>
      <c r="B32" s="79">
        <f>Lähtötiedot_kustannukset!$B$24*25</f>
        <v>5738.75</v>
      </c>
      <c r="C32" s="79">
        <f>Lähtötiedot_kustannukset!$B$24*50</f>
        <v>11477.5</v>
      </c>
      <c r="D32" s="79">
        <f>Lähtötiedot_kustannukset!$B$24*75</f>
        <v>17216.25</v>
      </c>
      <c r="E32" s="79">
        <f>Lähtötiedot_kustannukset!$B$24*100</f>
        <v>22955</v>
      </c>
      <c r="F32" s="79">
        <f>Lähtötiedot_kustannukset!$B$24*100</f>
        <v>22955</v>
      </c>
      <c r="G32" s="79">
        <f>Lähtötiedot_kustannukset!$B$24*100</f>
        <v>22955</v>
      </c>
      <c r="H32" s="79">
        <f>Lähtötiedot_kustannukset!$B$24*100</f>
        <v>22955</v>
      </c>
      <c r="I32" s="79">
        <f>Lähtötiedot_kustannukset!$B$24*100</f>
        <v>22955</v>
      </c>
      <c r="J32" s="79">
        <f>Lähtötiedot_kustannukset!$B$24*100</f>
        <v>22955</v>
      </c>
      <c r="K32" s="79">
        <f>Lähtötiedot_kustannukset!$B$24*100</f>
        <v>22955</v>
      </c>
      <c r="L32" s="79">
        <f>Lähtötiedot_kustannukset!$B$24*100</f>
        <v>22955</v>
      </c>
      <c r="M32" s="79">
        <f>Lähtötiedot_kustannukset!$B$24*100</f>
        <v>22955</v>
      </c>
      <c r="N32" s="79">
        <f>Lähtötiedot_kustannukset!$B$24*100</f>
        <v>22955</v>
      </c>
      <c r="O32" s="79">
        <f>Lähtötiedot_kustannukset!$B$24*100</f>
        <v>22955</v>
      </c>
      <c r="P32" s="79">
        <f>Lähtötiedot_kustannukset!$B$24*100</f>
        <v>22955</v>
      </c>
      <c r="Q32" s="79">
        <f>Lähtötiedot_kustannukset!$B$24*100</f>
        <v>22955</v>
      </c>
      <c r="R32" s="79">
        <f>Lähtötiedot_kustannukset!$B$24*100</f>
        <v>22955</v>
      </c>
      <c r="S32" s="79">
        <f>Lähtötiedot_kustannukset!$B$24*100</f>
        <v>22955</v>
      </c>
      <c r="T32" s="79">
        <f>Lähtötiedot_kustannukset!$B$24*100</f>
        <v>22955</v>
      </c>
      <c r="U32" s="79">
        <f>Lähtötiedot_kustannukset!$B$24*100</f>
        <v>22955</v>
      </c>
      <c r="V32" s="79">
        <f>Lähtötiedot_kustannukset!$B$24*100</f>
        <v>22955</v>
      </c>
      <c r="W32" s="79">
        <f>Lähtötiedot_kustannukset!$B$24*75</f>
        <v>17216.25</v>
      </c>
      <c r="X32" s="79">
        <f>Lähtötiedot_kustannukset!$B$24*50</f>
        <v>11477.5</v>
      </c>
      <c r="Y32" s="81">
        <f>Lähtötiedot_kustannukset!$B$24*25</f>
        <v>5738.75</v>
      </c>
      <c r="Z32" s="82"/>
    </row>
    <row r="33" spans="1:27" x14ac:dyDescent="0.35">
      <c r="A33" s="76" t="s">
        <v>89</v>
      </c>
      <c r="B33" s="79"/>
      <c r="C33" s="79"/>
      <c r="D33" s="79"/>
      <c r="E33" s="79"/>
      <c r="F33" s="79"/>
      <c r="G33" s="79"/>
      <c r="H33" s="79"/>
      <c r="I33" s="79"/>
      <c r="J33" s="79"/>
      <c r="K33" s="79"/>
      <c r="L33" s="79"/>
      <c r="M33" s="79"/>
      <c r="N33" s="79"/>
      <c r="O33" s="79"/>
      <c r="P33" s="79"/>
      <c r="Q33" s="79"/>
      <c r="R33" s="79"/>
      <c r="S33" s="79"/>
      <c r="T33" s="79"/>
      <c r="U33" s="79"/>
      <c r="V33" s="79"/>
      <c r="W33" s="79"/>
      <c r="X33" s="79"/>
      <c r="Y33" s="81"/>
      <c r="Z33" s="82"/>
    </row>
    <row r="34" spans="1:27" x14ac:dyDescent="0.35">
      <c r="A34" s="77" t="s">
        <v>90</v>
      </c>
      <c r="B34" s="79"/>
      <c r="C34" s="79"/>
      <c r="D34" s="79"/>
      <c r="E34" s="79"/>
      <c r="F34" s="79">
        <f>Lähtötiedot_kustannukset!$B$26*25</f>
        <v>18888.888900000002</v>
      </c>
      <c r="G34" s="79">
        <f>Lähtötiedot_kustannukset!$B$26*25</f>
        <v>18888.888900000002</v>
      </c>
      <c r="H34" s="79">
        <f>Lähtötiedot_kustannukset!$B$26*25</f>
        <v>18888.888900000002</v>
      </c>
      <c r="I34" s="79">
        <f>Lähtötiedot_kustannukset!$B$26*25</f>
        <v>18888.888900000002</v>
      </c>
      <c r="J34" s="79">
        <f>Lähtötiedot_kustannukset!$B$26*25</f>
        <v>18888.888900000002</v>
      </c>
      <c r="K34" s="79">
        <f>Lähtötiedot_kustannukset!$B$26*25</f>
        <v>18888.888900000002</v>
      </c>
      <c r="L34" s="79">
        <f>Lähtötiedot_kustannukset!$B$26*25</f>
        <v>18888.888900000002</v>
      </c>
      <c r="M34" s="79">
        <f>Lähtötiedot_kustannukset!$B$26*25</f>
        <v>18888.888900000002</v>
      </c>
      <c r="N34" s="79">
        <f>Lähtötiedot_kustannukset!$B$26*25</f>
        <v>18888.888900000002</v>
      </c>
      <c r="O34" s="79">
        <f>Lähtötiedot_kustannukset!$B$26*25</f>
        <v>18888.888900000002</v>
      </c>
      <c r="P34" s="79">
        <f>Lähtötiedot_kustannukset!$B$26*25</f>
        <v>18888.888900000002</v>
      </c>
      <c r="Q34" s="79">
        <f>Lähtötiedot_kustannukset!$B$26*25</f>
        <v>18888.888900000002</v>
      </c>
      <c r="R34" s="79">
        <f>Lähtötiedot_kustannukset!$B$26*25</f>
        <v>18888.888900000002</v>
      </c>
      <c r="S34" s="79">
        <f>Lähtötiedot_kustannukset!$B$26*25</f>
        <v>18888.888900000002</v>
      </c>
      <c r="T34" s="79">
        <f>Lähtötiedot_kustannukset!$B$26*25</f>
        <v>18888.888900000002</v>
      </c>
      <c r="U34" s="79">
        <f>Lähtötiedot_kustannukset!$B$26*25</f>
        <v>18888.888900000002</v>
      </c>
      <c r="V34" s="79">
        <f>Lähtötiedot_kustannukset!$B$26*25</f>
        <v>18888.888900000002</v>
      </c>
      <c r="W34" s="79">
        <f>Lähtötiedot_kustannukset!$B$26*25</f>
        <v>18888.888900000002</v>
      </c>
      <c r="X34" s="79">
        <f>Lähtötiedot_kustannukset!$B$26*25</f>
        <v>18888.888900000002</v>
      </c>
      <c r="Y34" s="81">
        <f>Lähtötiedot_kustannukset!$B$26*25</f>
        <v>18888.888900000002</v>
      </c>
      <c r="Z34" s="82"/>
    </row>
    <row r="35" spans="1:27" x14ac:dyDescent="0.35">
      <c r="A35" s="86"/>
      <c r="B35" s="69"/>
      <c r="C35" s="69"/>
      <c r="D35" s="69"/>
      <c r="E35" s="69"/>
      <c r="F35" s="69"/>
      <c r="G35" s="69"/>
      <c r="H35" s="69"/>
      <c r="I35" s="69"/>
      <c r="J35" s="69"/>
      <c r="K35" s="69"/>
      <c r="L35" s="69"/>
      <c r="M35" s="69"/>
      <c r="N35" s="69"/>
      <c r="O35" s="69"/>
      <c r="P35" s="69"/>
      <c r="Q35" s="69"/>
      <c r="R35" s="69"/>
      <c r="S35" s="69"/>
      <c r="T35" s="69"/>
      <c r="U35" s="69"/>
      <c r="V35" s="69"/>
      <c r="W35" s="69"/>
      <c r="X35" s="69"/>
      <c r="Y35" s="86"/>
      <c r="Z35" s="72"/>
    </row>
    <row r="36" spans="1:27" ht="15" thickBot="1" x14ac:dyDescent="0.4">
      <c r="A36" s="87" t="s">
        <v>36</v>
      </c>
      <c r="B36" s="88"/>
      <c r="C36" s="88"/>
      <c r="D36" s="88"/>
      <c r="E36" s="88"/>
      <c r="F36" s="88"/>
      <c r="G36" s="88"/>
      <c r="H36" s="88"/>
      <c r="I36" s="88"/>
      <c r="J36" s="88"/>
      <c r="K36" s="88"/>
      <c r="L36" s="88"/>
      <c r="M36" s="88"/>
      <c r="N36" s="88"/>
      <c r="O36" s="88"/>
      <c r="P36" s="88"/>
      <c r="Q36" s="88"/>
      <c r="R36" s="88"/>
      <c r="S36" s="88"/>
      <c r="T36" s="88"/>
      <c r="U36" s="88"/>
      <c r="V36" s="88"/>
      <c r="W36" s="88"/>
      <c r="X36" s="88"/>
      <c r="Y36" s="89"/>
      <c r="Z36" s="72"/>
    </row>
    <row r="37" spans="1:27" x14ac:dyDescent="0.35">
      <c r="A37" s="90" t="s">
        <v>100</v>
      </c>
      <c r="B37" s="91"/>
      <c r="C37" s="91"/>
      <c r="D37" s="91"/>
      <c r="E37" s="91"/>
      <c r="F37" s="91">
        <f>Lähtötiedot_tuotot!$B$19</f>
        <v>132977.77777777778</v>
      </c>
      <c r="G37" s="91">
        <f>Lähtötiedot_tuotot!$B$19</f>
        <v>132977.77777777778</v>
      </c>
      <c r="H37" s="91">
        <f>Lähtötiedot_tuotot!$B$19</f>
        <v>132977.77777777778</v>
      </c>
      <c r="I37" s="91">
        <f>Lähtötiedot_tuotot!$B$19</f>
        <v>132977.77777777778</v>
      </c>
      <c r="J37" s="91">
        <f>Lähtötiedot_tuotot!$B$19</f>
        <v>132977.77777777778</v>
      </c>
      <c r="K37" s="91">
        <f>Lähtötiedot_tuotot!$B$19</f>
        <v>132977.77777777778</v>
      </c>
      <c r="L37" s="91">
        <f>Lähtötiedot_tuotot!$B$19</f>
        <v>132977.77777777778</v>
      </c>
      <c r="M37" s="91">
        <f>Lähtötiedot_tuotot!$B$19</f>
        <v>132977.77777777778</v>
      </c>
      <c r="N37" s="91">
        <f>Lähtötiedot_tuotot!$B$19</f>
        <v>132977.77777777778</v>
      </c>
      <c r="O37" s="91">
        <f>Lähtötiedot_tuotot!$B$19</f>
        <v>132977.77777777778</v>
      </c>
      <c r="P37" s="91">
        <f>Lähtötiedot_tuotot!$B$19</f>
        <v>132977.77777777778</v>
      </c>
      <c r="Q37" s="91">
        <f>Lähtötiedot_tuotot!$B$19</f>
        <v>132977.77777777778</v>
      </c>
      <c r="R37" s="91">
        <f>Lähtötiedot_tuotot!$B$19</f>
        <v>132977.77777777778</v>
      </c>
      <c r="S37" s="91">
        <f>Lähtötiedot_tuotot!$B$19</f>
        <v>132977.77777777778</v>
      </c>
      <c r="T37" s="91">
        <f>Lähtötiedot_tuotot!$B$19</f>
        <v>132977.77777777778</v>
      </c>
      <c r="U37" s="91">
        <f>Lähtötiedot_tuotot!$B$19</f>
        <v>132977.77777777778</v>
      </c>
      <c r="V37" s="91">
        <f>Lähtötiedot_tuotot!$B$19</f>
        <v>132977.77777777778</v>
      </c>
      <c r="W37" s="91">
        <f>Lähtötiedot_tuotot!$B$19</f>
        <v>132977.77777777778</v>
      </c>
      <c r="X37" s="91">
        <f>Lähtötiedot_tuotot!$B$19</f>
        <v>132977.77777777778</v>
      </c>
      <c r="Y37" s="91">
        <f>Lähtötiedot_tuotot!$B$19</f>
        <v>132977.77777777778</v>
      </c>
      <c r="Z37" s="92">
        <f>SUM(B37:Y37)</f>
        <v>2659555.5555555564</v>
      </c>
      <c r="AA37" t="s">
        <v>48</v>
      </c>
    </row>
    <row r="38" spans="1:27" ht="15" thickBot="1" x14ac:dyDescent="0.4">
      <c r="A38" s="93" t="s">
        <v>106</v>
      </c>
      <c r="B38" s="94"/>
      <c r="C38" s="94"/>
      <c r="D38" s="94"/>
      <c r="E38" s="94"/>
      <c r="F38" s="94"/>
      <c r="G38" s="94"/>
      <c r="H38" s="94"/>
      <c r="I38" s="94"/>
      <c r="J38" s="94"/>
      <c r="K38" s="94"/>
      <c r="L38" s="94"/>
      <c r="M38" s="94"/>
      <c r="N38" s="94"/>
      <c r="O38" s="94"/>
      <c r="P38" s="94"/>
      <c r="Q38" s="94"/>
      <c r="R38" s="94"/>
      <c r="S38" s="94"/>
      <c r="T38" s="94"/>
      <c r="U38" s="94"/>
      <c r="V38" s="94"/>
      <c r="W38" s="94"/>
      <c r="X38" s="94"/>
      <c r="Y38" s="95"/>
      <c r="Z38" s="96"/>
    </row>
    <row r="39" spans="1:27" x14ac:dyDescent="0.35">
      <c r="A39" s="77"/>
      <c r="B39" s="97"/>
      <c r="C39" s="97"/>
      <c r="D39" s="97"/>
      <c r="E39" s="97"/>
      <c r="F39" s="97"/>
      <c r="G39" s="97"/>
      <c r="H39" s="97"/>
      <c r="I39" s="97"/>
      <c r="J39" s="97"/>
      <c r="K39" s="97"/>
      <c r="L39" s="97"/>
      <c r="M39" s="97"/>
      <c r="N39" s="97"/>
      <c r="O39" s="97"/>
      <c r="P39" s="97"/>
      <c r="Q39" s="97"/>
      <c r="R39" s="97"/>
      <c r="S39" s="97"/>
      <c r="T39" s="97"/>
      <c r="U39" s="97"/>
      <c r="V39" s="97"/>
      <c r="W39" s="97"/>
      <c r="X39" s="97"/>
      <c r="Y39" s="98"/>
      <c r="Z39" s="96"/>
    </row>
    <row r="40" spans="1:27" x14ac:dyDescent="0.35">
      <c r="A40" s="77"/>
      <c r="B40" s="97"/>
      <c r="C40" s="97"/>
      <c r="D40" s="97"/>
      <c r="E40" s="97"/>
      <c r="F40" s="97"/>
      <c r="G40" s="97"/>
      <c r="H40" s="97"/>
      <c r="I40" s="97"/>
      <c r="J40" s="97"/>
      <c r="K40" s="97"/>
      <c r="L40" s="97"/>
      <c r="M40" s="97"/>
      <c r="N40" s="97"/>
      <c r="O40" s="97"/>
      <c r="P40" s="97"/>
      <c r="Q40" s="97"/>
      <c r="R40" s="97"/>
      <c r="S40" s="97"/>
      <c r="T40" s="97"/>
      <c r="U40" s="97"/>
      <c r="V40" s="97"/>
      <c r="W40" s="97"/>
      <c r="X40" s="97"/>
      <c r="Y40" s="98"/>
      <c r="Z40" s="96"/>
    </row>
    <row r="41" spans="1:27" ht="15.5" x14ac:dyDescent="0.35">
      <c r="A41" s="51" t="s">
        <v>77</v>
      </c>
      <c r="B41" s="25"/>
      <c r="C41" s="25"/>
      <c r="D41" s="25"/>
      <c r="E41" s="25"/>
      <c r="F41" s="25"/>
      <c r="G41" s="25"/>
      <c r="H41" s="25"/>
      <c r="I41" s="25"/>
      <c r="J41" s="25"/>
      <c r="K41" s="25"/>
      <c r="L41" s="25"/>
      <c r="M41" s="25"/>
      <c r="N41" s="25"/>
      <c r="O41" s="25"/>
      <c r="P41" s="25"/>
      <c r="Q41" s="25"/>
      <c r="R41" s="25"/>
      <c r="S41" s="25"/>
      <c r="T41" s="25"/>
      <c r="U41" s="25"/>
      <c r="V41" s="25"/>
      <c r="W41" s="25"/>
      <c r="X41" s="25"/>
      <c r="Y41" s="26"/>
      <c r="Z41" s="29"/>
    </row>
    <row r="42" spans="1:27" ht="28.5" customHeight="1" x14ac:dyDescent="0.35">
      <c r="A42" s="41" t="s">
        <v>149</v>
      </c>
      <c r="B42" s="42"/>
      <c r="C42" s="42"/>
      <c r="D42" s="42"/>
      <c r="E42" s="42"/>
      <c r="F42" s="42"/>
      <c r="G42" s="42"/>
      <c r="H42" s="42"/>
      <c r="I42" s="42"/>
      <c r="J42" s="42"/>
      <c r="K42" s="42"/>
      <c r="L42" s="42"/>
      <c r="M42" s="42"/>
      <c r="N42" s="42"/>
      <c r="O42" s="42"/>
      <c r="P42" s="42"/>
      <c r="Q42" s="42"/>
      <c r="R42" s="42"/>
      <c r="S42" s="42"/>
      <c r="T42" s="42"/>
      <c r="U42" s="42"/>
      <c r="V42" s="42"/>
      <c r="W42" s="42"/>
      <c r="X42" s="42"/>
      <c r="Y42" s="43"/>
      <c r="Z42" s="17"/>
    </row>
    <row r="43" spans="1:27" x14ac:dyDescent="0.35">
      <c r="A43" s="7" t="s">
        <v>125</v>
      </c>
      <c r="B43" s="9">
        <f t="shared" ref="B43:Y43" si="0">SUM(B15:B35)</f>
        <v>84461.416666666672</v>
      </c>
      <c r="C43" s="9">
        <f t="shared" si="0"/>
        <v>110419.04166666667</v>
      </c>
      <c r="D43" s="9">
        <f t="shared" si="0"/>
        <v>116157.79166666667</v>
      </c>
      <c r="E43" s="9">
        <f t="shared" si="0"/>
        <v>121896.54166666667</v>
      </c>
      <c r="F43" s="9">
        <f t="shared" si="0"/>
        <v>106291.63890000001</v>
      </c>
      <c r="G43" s="9">
        <f t="shared" si="0"/>
        <v>86072.763900000005</v>
      </c>
      <c r="H43" s="9">
        <f t="shared" si="0"/>
        <v>86072.763900000005</v>
      </c>
      <c r="I43" s="9">
        <f t="shared" si="0"/>
        <v>86072.763900000005</v>
      </c>
      <c r="J43" s="9">
        <f t="shared" si="0"/>
        <v>86072.763900000005</v>
      </c>
      <c r="K43" s="9">
        <f t="shared" si="0"/>
        <v>86072.763900000005</v>
      </c>
      <c r="L43" s="9">
        <f t="shared" si="0"/>
        <v>86072.763900000005</v>
      </c>
      <c r="M43" s="9">
        <f t="shared" si="0"/>
        <v>86072.763900000005</v>
      </c>
      <c r="N43" s="9">
        <f t="shared" si="0"/>
        <v>86072.763900000005</v>
      </c>
      <c r="O43" s="9">
        <f t="shared" si="0"/>
        <v>86072.763900000005</v>
      </c>
      <c r="P43" s="9">
        <f t="shared" si="0"/>
        <v>86072.763900000005</v>
      </c>
      <c r="Q43" s="9">
        <f t="shared" si="0"/>
        <v>86072.763900000005</v>
      </c>
      <c r="R43" s="9">
        <f t="shared" si="0"/>
        <v>86072.763900000005</v>
      </c>
      <c r="S43" s="9">
        <f t="shared" si="0"/>
        <v>86072.763900000005</v>
      </c>
      <c r="T43" s="9">
        <f t="shared" si="0"/>
        <v>86072.763900000005</v>
      </c>
      <c r="U43" s="9">
        <f t="shared" si="0"/>
        <v>86072.763900000005</v>
      </c>
      <c r="V43" s="9">
        <f t="shared" si="0"/>
        <v>115172.76390000001</v>
      </c>
      <c r="W43" s="9">
        <f t="shared" si="0"/>
        <v>109434.01390000001</v>
      </c>
      <c r="X43" s="9">
        <f t="shared" si="0"/>
        <v>103695.26390000001</v>
      </c>
      <c r="Y43" s="14">
        <f t="shared" si="0"/>
        <v>78887.638900000005</v>
      </c>
      <c r="Z43" s="18">
        <f>SUM(B43:Y43)</f>
        <v>2237507.569666666</v>
      </c>
      <c r="AA43" t="s">
        <v>127</v>
      </c>
    </row>
    <row r="44" spans="1:27" x14ac:dyDescent="0.35">
      <c r="A44" s="6" t="s">
        <v>47</v>
      </c>
      <c r="B44" s="12">
        <f t="shared" ref="B44:Y44" si="1">SUM(B36:B38)</f>
        <v>0</v>
      </c>
      <c r="C44" s="12">
        <f t="shared" si="1"/>
        <v>0</v>
      </c>
      <c r="D44" s="12">
        <f t="shared" si="1"/>
        <v>0</v>
      </c>
      <c r="E44" s="12">
        <f t="shared" si="1"/>
        <v>0</v>
      </c>
      <c r="F44" s="12">
        <f t="shared" si="1"/>
        <v>132977.77777777778</v>
      </c>
      <c r="G44" s="12">
        <f t="shared" si="1"/>
        <v>132977.77777777778</v>
      </c>
      <c r="H44" s="12">
        <f t="shared" si="1"/>
        <v>132977.77777777778</v>
      </c>
      <c r="I44" s="12">
        <f t="shared" si="1"/>
        <v>132977.77777777778</v>
      </c>
      <c r="J44" s="12">
        <f t="shared" si="1"/>
        <v>132977.77777777778</v>
      </c>
      <c r="K44" s="12">
        <f t="shared" si="1"/>
        <v>132977.77777777778</v>
      </c>
      <c r="L44" s="12">
        <f t="shared" si="1"/>
        <v>132977.77777777778</v>
      </c>
      <c r="M44" s="12">
        <f t="shared" si="1"/>
        <v>132977.77777777778</v>
      </c>
      <c r="N44" s="12">
        <f t="shared" si="1"/>
        <v>132977.77777777778</v>
      </c>
      <c r="O44" s="12">
        <f t="shared" si="1"/>
        <v>132977.77777777778</v>
      </c>
      <c r="P44" s="12">
        <f t="shared" si="1"/>
        <v>132977.77777777778</v>
      </c>
      <c r="Q44" s="12">
        <f t="shared" si="1"/>
        <v>132977.77777777778</v>
      </c>
      <c r="R44" s="12">
        <f t="shared" si="1"/>
        <v>132977.77777777778</v>
      </c>
      <c r="S44" s="12">
        <f t="shared" si="1"/>
        <v>132977.77777777778</v>
      </c>
      <c r="T44" s="12">
        <f t="shared" si="1"/>
        <v>132977.77777777778</v>
      </c>
      <c r="U44" s="12">
        <f t="shared" si="1"/>
        <v>132977.77777777778</v>
      </c>
      <c r="V44" s="12">
        <f t="shared" si="1"/>
        <v>132977.77777777778</v>
      </c>
      <c r="W44" s="12">
        <f t="shared" si="1"/>
        <v>132977.77777777778</v>
      </c>
      <c r="X44" s="12">
        <f t="shared" si="1"/>
        <v>132977.77777777778</v>
      </c>
      <c r="Y44" s="15">
        <f t="shared" si="1"/>
        <v>132977.77777777778</v>
      </c>
      <c r="Z44" s="19">
        <f>SUM(B44:Y44)</f>
        <v>2659555.5555555564</v>
      </c>
      <c r="AA44" t="s">
        <v>48</v>
      </c>
    </row>
    <row r="45" spans="1:27" x14ac:dyDescent="0.35">
      <c r="A45" s="11" t="s">
        <v>49</v>
      </c>
      <c r="B45" s="33">
        <f t="shared" ref="B45:Y45" si="2">SUM(B36:B38)-SUM(B15:B35)</f>
        <v>-84461.416666666672</v>
      </c>
      <c r="C45" s="33">
        <f t="shared" si="2"/>
        <v>-110419.04166666667</v>
      </c>
      <c r="D45" s="33">
        <f t="shared" si="2"/>
        <v>-116157.79166666667</v>
      </c>
      <c r="E45" s="33">
        <f t="shared" si="2"/>
        <v>-121896.54166666667</v>
      </c>
      <c r="F45" s="33">
        <f t="shared" si="2"/>
        <v>26686.138877777776</v>
      </c>
      <c r="G45" s="33">
        <f t="shared" si="2"/>
        <v>46905.013877777776</v>
      </c>
      <c r="H45" s="33">
        <f t="shared" si="2"/>
        <v>46905.013877777776</v>
      </c>
      <c r="I45" s="33">
        <f t="shared" si="2"/>
        <v>46905.013877777776</v>
      </c>
      <c r="J45" s="33">
        <f t="shared" si="2"/>
        <v>46905.013877777776</v>
      </c>
      <c r="K45" s="33">
        <f t="shared" si="2"/>
        <v>46905.013877777776</v>
      </c>
      <c r="L45" s="33">
        <f t="shared" si="2"/>
        <v>46905.013877777776</v>
      </c>
      <c r="M45" s="33">
        <f t="shared" si="2"/>
        <v>46905.013877777776</v>
      </c>
      <c r="N45" s="33">
        <f t="shared" si="2"/>
        <v>46905.013877777776</v>
      </c>
      <c r="O45" s="33">
        <f t="shared" si="2"/>
        <v>46905.013877777776</v>
      </c>
      <c r="P45" s="33">
        <f t="shared" si="2"/>
        <v>46905.013877777776</v>
      </c>
      <c r="Q45" s="33">
        <f t="shared" si="2"/>
        <v>46905.013877777776</v>
      </c>
      <c r="R45" s="33">
        <f t="shared" si="2"/>
        <v>46905.013877777776</v>
      </c>
      <c r="S45" s="33">
        <f t="shared" si="2"/>
        <v>46905.013877777776</v>
      </c>
      <c r="T45" s="33">
        <f t="shared" si="2"/>
        <v>46905.013877777776</v>
      </c>
      <c r="U45" s="33">
        <f t="shared" si="2"/>
        <v>46905.013877777776</v>
      </c>
      <c r="V45" s="33">
        <f t="shared" si="2"/>
        <v>17805.013877777776</v>
      </c>
      <c r="W45" s="33">
        <f t="shared" si="2"/>
        <v>23543.763877777776</v>
      </c>
      <c r="X45" s="33">
        <f t="shared" si="2"/>
        <v>29282.513877777776</v>
      </c>
      <c r="Y45" s="56">
        <f t="shared" si="2"/>
        <v>54090.138877777776</v>
      </c>
      <c r="Z45" s="30">
        <f>SUM(B45:Y45)</f>
        <v>422047.985888889</v>
      </c>
      <c r="AA45" t="s">
        <v>50</v>
      </c>
    </row>
    <row r="46" spans="1:27" x14ac:dyDescent="0.35">
      <c r="A46" s="21" t="s">
        <v>51</v>
      </c>
      <c r="B46" s="34">
        <f>SUM(B37:B38)-SUM(B17:B34)</f>
        <v>-84461.416666666672</v>
      </c>
      <c r="C46" s="34">
        <f t="shared" ref="C46:Y46" si="3">B46+(SUM(C36:C38)-SUM(C15:C35))</f>
        <v>-194880.45833333334</v>
      </c>
      <c r="D46" s="34">
        <f t="shared" si="3"/>
        <v>-311038.25</v>
      </c>
      <c r="E46" s="34">
        <f t="shared" si="3"/>
        <v>-432934.79166666669</v>
      </c>
      <c r="F46" s="34">
        <f t="shared" si="3"/>
        <v>-406248.6527888889</v>
      </c>
      <c r="G46" s="34">
        <f t="shared" si="3"/>
        <v>-359343.63891111111</v>
      </c>
      <c r="H46" s="34">
        <f t="shared" si="3"/>
        <v>-312438.62503333332</v>
      </c>
      <c r="I46" s="34">
        <f t="shared" si="3"/>
        <v>-265533.61115555553</v>
      </c>
      <c r="J46" s="34">
        <f t="shared" si="3"/>
        <v>-218628.59727777774</v>
      </c>
      <c r="K46" s="34">
        <f t="shared" si="3"/>
        <v>-171723.58339999994</v>
      </c>
      <c r="L46" s="34">
        <f t="shared" si="3"/>
        <v>-124818.56952222217</v>
      </c>
      <c r="M46" s="34">
        <f t="shared" si="3"/>
        <v>-77913.555644444394</v>
      </c>
      <c r="N46" s="34">
        <f t="shared" si="3"/>
        <v>-31008.541766666618</v>
      </c>
      <c r="O46" s="34">
        <f t="shared" si="3"/>
        <v>15896.472111111158</v>
      </c>
      <c r="P46" s="34">
        <f t="shared" si="3"/>
        <v>62801.485988888933</v>
      </c>
      <c r="Q46" s="34">
        <f t="shared" si="3"/>
        <v>109706.49986666671</v>
      </c>
      <c r="R46" s="34">
        <f t="shared" si="3"/>
        <v>156611.51374444447</v>
      </c>
      <c r="S46" s="34">
        <f t="shared" si="3"/>
        <v>203516.52762222226</v>
      </c>
      <c r="T46" s="34">
        <f t="shared" si="3"/>
        <v>250421.54150000005</v>
      </c>
      <c r="U46" s="34">
        <f t="shared" si="3"/>
        <v>297326.55537777784</v>
      </c>
      <c r="V46" s="34">
        <f t="shared" si="3"/>
        <v>315131.56925555563</v>
      </c>
      <c r="W46" s="34">
        <f t="shared" si="3"/>
        <v>338675.33313333342</v>
      </c>
      <c r="X46" s="34">
        <f t="shared" si="3"/>
        <v>367957.84701111121</v>
      </c>
      <c r="Y46" s="13">
        <f t="shared" si="3"/>
        <v>422047.985888889</v>
      </c>
      <c r="Z46" s="17"/>
    </row>
    <row r="47" spans="1:27" ht="29.5" customHeight="1" x14ac:dyDescent="0.35">
      <c r="A47" s="7" t="s">
        <v>52</v>
      </c>
      <c r="B47" t="str">
        <f>IF(B46&gt;0,"+","")</f>
        <v/>
      </c>
      <c r="C47" t="str">
        <f t="shared" ref="C47:Y47" si="4">IF(C46&gt;0,"+","")</f>
        <v/>
      </c>
      <c r="D47" t="str">
        <f t="shared" si="4"/>
        <v/>
      </c>
      <c r="E47" t="str">
        <f t="shared" si="4"/>
        <v/>
      </c>
      <c r="F47" t="str">
        <f t="shared" si="4"/>
        <v/>
      </c>
      <c r="G47" t="str">
        <f t="shared" si="4"/>
        <v/>
      </c>
      <c r="H47" t="str">
        <f t="shared" si="4"/>
        <v/>
      </c>
      <c r="I47" t="str">
        <f t="shared" si="4"/>
        <v/>
      </c>
      <c r="J47" t="str">
        <f t="shared" si="4"/>
        <v/>
      </c>
      <c r="K47" t="str">
        <f t="shared" si="4"/>
        <v/>
      </c>
      <c r="L47" t="str">
        <f t="shared" si="4"/>
        <v/>
      </c>
      <c r="M47" t="str">
        <f t="shared" si="4"/>
        <v/>
      </c>
      <c r="N47" t="str">
        <f t="shared" si="4"/>
        <v/>
      </c>
      <c r="O47" t="str">
        <f t="shared" si="4"/>
        <v>+</v>
      </c>
      <c r="P47" t="str">
        <f t="shared" si="4"/>
        <v>+</v>
      </c>
      <c r="Q47" t="str">
        <f t="shared" si="4"/>
        <v>+</v>
      </c>
      <c r="R47" t="str">
        <f t="shared" si="4"/>
        <v>+</v>
      </c>
      <c r="S47" t="str">
        <f t="shared" si="4"/>
        <v>+</v>
      </c>
      <c r="T47" t="str">
        <f t="shared" si="4"/>
        <v>+</v>
      </c>
      <c r="U47" t="str">
        <f t="shared" si="4"/>
        <v>+</v>
      </c>
      <c r="V47" t="str">
        <f t="shared" si="4"/>
        <v>+</v>
      </c>
      <c r="W47" t="str">
        <f t="shared" si="4"/>
        <v>+</v>
      </c>
      <c r="X47" t="str">
        <f t="shared" si="4"/>
        <v>+</v>
      </c>
      <c r="Y47" s="7" t="str">
        <f t="shared" si="4"/>
        <v>+</v>
      </c>
      <c r="Z47" s="17"/>
    </row>
    <row r="48" spans="1:27" ht="30" customHeight="1" x14ac:dyDescent="0.35">
      <c r="A48" s="37" t="s">
        <v>53</v>
      </c>
      <c r="B48" s="38"/>
      <c r="C48" s="38"/>
      <c r="D48" s="38"/>
      <c r="E48" s="38"/>
      <c r="F48" s="38"/>
      <c r="G48" s="38"/>
      <c r="H48" s="38"/>
      <c r="I48" s="38"/>
      <c r="J48" s="39"/>
      <c r="K48" s="38"/>
      <c r="L48" s="38"/>
      <c r="M48" s="38"/>
      <c r="N48" s="38"/>
      <c r="O48" s="38"/>
      <c r="P48" s="38"/>
      <c r="Q48" s="38"/>
      <c r="R48" s="38"/>
      <c r="S48" s="38"/>
      <c r="T48" s="38"/>
      <c r="U48" s="38"/>
      <c r="V48" s="38"/>
      <c r="W48" s="38"/>
      <c r="X48" s="38"/>
      <c r="Y48" s="40"/>
      <c r="Z48" s="17"/>
    </row>
    <row r="49" spans="1:33" x14ac:dyDescent="0.35">
      <c r="A49" s="7" t="s">
        <v>126</v>
      </c>
      <c r="B49" s="9">
        <f t="shared" ref="B49:Y49" si="5">B43/(1+$B$4)^B14</f>
        <v>84461.416666666672</v>
      </c>
      <c r="C49" s="9">
        <f t="shared" si="5"/>
        <v>105160.99206349207</v>
      </c>
      <c r="D49" s="9">
        <f t="shared" si="5"/>
        <v>105358.54119425548</v>
      </c>
      <c r="E49" s="9">
        <f t="shared" si="5"/>
        <v>105298.81582262534</v>
      </c>
      <c r="F49" s="9">
        <f t="shared" si="5"/>
        <v>87446.394372715076</v>
      </c>
      <c r="G49" s="9">
        <f t="shared" si="5"/>
        <v>67440.262735911761</v>
      </c>
      <c r="H49" s="9">
        <f t="shared" si="5"/>
        <v>64228.82165324931</v>
      </c>
      <c r="I49" s="9">
        <f t="shared" si="5"/>
        <v>61170.306336427901</v>
      </c>
      <c r="J49" s="9">
        <f t="shared" si="5"/>
        <v>58257.434606121817</v>
      </c>
      <c r="K49" s="9">
        <f t="shared" si="5"/>
        <v>55483.271053449353</v>
      </c>
      <c r="L49" s="9">
        <f t="shared" si="5"/>
        <v>52841.210527094619</v>
      </c>
      <c r="M49" s="9">
        <f t="shared" si="5"/>
        <v>50324.962406756778</v>
      </c>
      <c r="N49" s="9">
        <f t="shared" si="5"/>
        <v>47928.535625482647</v>
      </c>
      <c r="O49" s="9">
        <f t="shared" si="5"/>
        <v>45646.224405221561</v>
      </c>
      <c r="P49" s="9">
        <f t="shared" si="5"/>
        <v>43472.594671639592</v>
      </c>
      <c r="Q49" s="9">
        <f t="shared" si="5"/>
        <v>41402.47111584722</v>
      </c>
      <c r="R49" s="9">
        <f t="shared" si="5"/>
        <v>39430.924872235453</v>
      </c>
      <c r="S49" s="9">
        <f t="shared" si="5"/>
        <v>37553.261783081376</v>
      </c>
      <c r="T49" s="9">
        <f t="shared" si="5"/>
        <v>35765.011221982262</v>
      </c>
      <c r="U49" s="9">
        <f t="shared" si="5"/>
        <v>34061.915449506916</v>
      </c>
      <c r="V49" s="9">
        <f t="shared" si="5"/>
        <v>43407.403427325196</v>
      </c>
      <c r="W49" s="9">
        <f t="shared" si="5"/>
        <v>39280.503721416913</v>
      </c>
      <c r="X49" s="9">
        <f t="shared" si="5"/>
        <v>35448.212596508238</v>
      </c>
      <c r="Y49" s="9">
        <f t="shared" si="5"/>
        <v>25683.551607898069</v>
      </c>
      <c r="Z49" s="18">
        <f>SUM(B49:Y49)</f>
        <v>1366553.0399369115</v>
      </c>
      <c r="AA49" t="s">
        <v>128</v>
      </c>
    </row>
    <row r="50" spans="1:33" x14ac:dyDescent="0.35">
      <c r="A50" s="7" t="s">
        <v>54</v>
      </c>
      <c r="B50" s="28">
        <f t="shared" ref="B50:Y50" si="6">B44/(1+$B$4)^B14</f>
        <v>0</v>
      </c>
      <c r="C50" s="9">
        <f t="shared" si="6"/>
        <v>0</v>
      </c>
      <c r="D50" s="9">
        <f t="shared" si="6"/>
        <v>0</v>
      </c>
      <c r="E50" s="9">
        <f t="shared" si="6"/>
        <v>0</v>
      </c>
      <c r="F50" s="9">
        <f t="shared" si="6"/>
        <v>109401.1468701027</v>
      </c>
      <c r="G50" s="9">
        <f t="shared" si="6"/>
        <v>104191.56844771685</v>
      </c>
      <c r="H50" s="9">
        <f t="shared" si="6"/>
        <v>99230.065188301785</v>
      </c>
      <c r="I50" s="9">
        <f t="shared" si="6"/>
        <v>94504.823988858814</v>
      </c>
      <c r="J50" s="9">
        <f t="shared" si="6"/>
        <v>90004.594275103649</v>
      </c>
      <c r="K50" s="9">
        <f t="shared" si="6"/>
        <v>85718.661214384425</v>
      </c>
      <c r="L50" s="9">
        <f t="shared" si="6"/>
        <v>81636.820204175645</v>
      </c>
      <c r="M50" s="9">
        <f t="shared" si="6"/>
        <v>77749.35257540537</v>
      </c>
      <c r="N50" s="9">
        <f t="shared" si="6"/>
        <v>74047.002452767032</v>
      </c>
      <c r="O50" s="9">
        <f t="shared" si="6"/>
        <v>70520.954716920969</v>
      </c>
      <c r="P50" s="9">
        <f t="shared" si="6"/>
        <v>67162.814016115226</v>
      </c>
      <c r="Q50" s="9">
        <f t="shared" si="6"/>
        <v>63964.584777252567</v>
      </c>
      <c r="R50" s="9">
        <f t="shared" si="6"/>
        <v>60918.652168811976</v>
      </c>
      <c r="S50" s="9">
        <f t="shared" si="6"/>
        <v>58017.763970297114</v>
      </c>
      <c r="T50" s="9">
        <f t="shared" si="6"/>
        <v>55255.013305044871</v>
      </c>
      <c r="U50" s="9">
        <f t="shared" si="6"/>
        <v>52623.822195280831</v>
      </c>
      <c r="V50" s="9">
        <f t="shared" si="6"/>
        <v>50117.925900267459</v>
      </c>
      <c r="W50" s="9">
        <f t="shared" si="6"/>
        <v>47731.358000254724</v>
      </c>
      <c r="X50" s="9">
        <f t="shared" si="6"/>
        <v>45458.436190718785</v>
      </c>
      <c r="Y50" s="9">
        <f t="shared" si="6"/>
        <v>43293.748753065505</v>
      </c>
      <c r="Z50" s="19">
        <f>SUM(B50:Y50)</f>
        <v>1431549.1092108462</v>
      </c>
      <c r="AA50" t="s">
        <v>55</v>
      </c>
    </row>
    <row r="51" spans="1:33" x14ac:dyDescent="0.35">
      <c r="A51" s="7"/>
      <c r="B51" s="3"/>
      <c r="Y51" s="7"/>
    </row>
    <row r="52" spans="1:33" x14ac:dyDescent="0.35">
      <c r="A52" s="35" t="s">
        <v>56</v>
      </c>
      <c r="B52" s="24">
        <f t="shared" ref="B52:Y52" si="7">B45/(1+$B$4)^B14</f>
        <v>-84461.416666666672</v>
      </c>
      <c r="C52" s="24">
        <f t="shared" si="7"/>
        <v>-105160.99206349207</v>
      </c>
      <c r="D52" s="24">
        <f t="shared" si="7"/>
        <v>-105358.54119425548</v>
      </c>
      <c r="E52" s="24">
        <f t="shared" si="7"/>
        <v>-105298.81582262534</v>
      </c>
      <c r="F52" s="24">
        <f t="shared" si="7"/>
        <v>21954.752497387632</v>
      </c>
      <c r="G52" s="24">
        <f t="shared" si="7"/>
        <v>36751.305711805086</v>
      </c>
      <c r="H52" s="24">
        <f t="shared" si="7"/>
        <v>35001.243535052468</v>
      </c>
      <c r="I52" s="24">
        <f t="shared" si="7"/>
        <v>33334.517652430914</v>
      </c>
      <c r="J52" s="24">
        <f t="shared" si="7"/>
        <v>31747.159668981829</v>
      </c>
      <c r="K52" s="24">
        <f t="shared" si="7"/>
        <v>30235.390160935072</v>
      </c>
      <c r="L52" s="24">
        <f t="shared" si="7"/>
        <v>28795.609677081022</v>
      </c>
      <c r="M52" s="24">
        <f t="shared" si="7"/>
        <v>27424.390168648591</v>
      </c>
      <c r="N52" s="24">
        <f t="shared" si="7"/>
        <v>26118.466827284374</v>
      </c>
      <c r="O52" s="24">
        <f t="shared" si="7"/>
        <v>24874.730311699401</v>
      </c>
      <c r="P52" s="24">
        <f t="shared" si="7"/>
        <v>23690.219344475627</v>
      </c>
      <c r="Q52" s="24">
        <f t="shared" si="7"/>
        <v>22562.11366140535</v>
      </c>
      <c r="R52" s="24">
        <f t="shared" si="7"/>
        <v>21487.727296576526</v>
      </c>
      <c r="S52" s="24">
        <f t="shared" si="7"/>
        <v>20464.502187215738</v>
      </c>
      <c r="T52" s="24">
        <f t="shared" si="7"/>
        <v>19490.002083062605</v>
      </c>
      <c r="U52" s="24">
        <f t="shared" si="7"/>
        <v>18561.906745773911</v>
      </c>
      <c r="V52" s="24">
        <f t="shared" si="7"/>
        <v>6710.5224729422653</v>
      </c>
      <c r="W52" s="24">
        <f t="shared" si="7"/>
        <v>8450.8542788378072</v>
      </c>
      <c r="X52" s="24">
        <f t="shared" si="7"/>
        <v>10010.223594210549</v>
      </c>
      <c r="Y52" s="36">
        <f t="shared" si="7"/>
        <v>17610.197145167433</v>
      </c>
      <c r="Z52" s="30">
        <f>SUM(B52:Y52)</f>
        <v>64996.069273934627</v>
      </c>
      <c r="AA52" t="s">
        <v>78</v>
      </c>
    </row>
    <row r="53" spans="1:33" x14ac:dyDescent="0.35">
      <c r="A53" s="7" t="s">
        <v>57</v>
      </c>
      <c r="B53" s="9">
        <f>B52</f>
        <v>-84461.416666666672</v>
      </c>
      <c r="C53" s="9">
        <f>B53+C52</f>
        <v>-189622.40873015876</v>
      </c>
      <c r="D53" s="9">
        <f t="shared" ref="D53:U53" si="8">C53+D52</f>
        <v>-294980.94992441422</v>
      </c>
      <c r="E53" s="9">
        <f t="shared" si="8"/>
        <v>-400279.76574703958</v>
      </c>
      <c r="F53" s="9">
        <f t="shared" si="8"/>
        <v>-378325.01324965194</v>
      </c>
      <c r="G53" s="9">
        <f t="shared" si="8"/>
        <v>-341573.70753784687</v>
      </c>
      <c r="H53" s="9">
        <f t="shared" si="8"/>
        <v>-306572.46400279441</v>
      </c>
      <c r="I53" s="9">
        <f t="shared" si="8"/>
        <v>-273237.94635036349</v>
      </c>
      <c r="J53" s="9">
        <f>I53+J52</f>
        <v>-241490.78668138167</v>
      </c>
      <c r="K53" s="9">
        <f>J53+K52</f>
        <v>-211255.39652044658</v>
      </c>
      <c r="L53" s="9">
        <f t="shared" si="8"/>
        <v>-182459.78684336555</v>
      </c>
      <c r="M53" s="9">
        <f t="shared" si="8"/>
        <v>-155035.39667471696</v>
      </c>
      <c r="N53" s="9">
        <f t="shared" si="8"/>
        <v>-128916.92984743259</v>
      </c>
      <c r="O53" s="9">
        <f t="shared" si="8"/>
        <v>-104042.19953573319</v>
      </c>
      <c r="P53" s="9">
        <f t="shared" si="8"/>
        <v>-80351.980191257564</v>
      </c>
      <c r="Q53" s="9">
        <f t="shared" si="8"/>
        <v>-57789.86652985221</v>
      </c>
      <c r="R53" s="9">
        <f t="shared" si="8"/>
        <v>-36302.13923327568</v>
      </c>
      <c r="S53" s="9">
        <f t="shared" si="8"/>
        <v>-15837.637046059943</v>
      </c>
      <c r="T53" s="9">
        <f t="shared" si="8"/>
        <v>3652.3650370026626</v>
      </c>
      <c r="U53" s="9">
        <f t="shared" si="8"/>
        <v>22214.271782776574</v>
      </c>
      <c r="V53" s="9">
        <f t="shared" ref="V53" si="9">U53+V52</f>
        <v>28924.79425571884</v>
      </c>
      <c r="W53" s="9">
        <f t="shared" ref="W53" si="10">V53+W52</f>
        <v>37375.648534556647</v>
      </c>
      <c r="X53" s="9">
        <f t="shared" ref="X53" si="11">W53+X52</f>
        <v>47385.872128767194</v>
      </c>
      <c r="Y53" s="14">
        <f t="shared" ref="Y53" si="12">X53+Y52</f>
        <v>64996.069273934627</v>
      </c>
      <c r="Z53" s="17"/>
    </row>
    <row r="54" spans="1:33" x14ac:dyDescent="0.35">
      <c r="A54" s="7" t="s">
        <v>58</v>
      </c>
      <c r="B54" t="str">
        <f>IF(B53&gt;0,"+","")</f>
        <v/>
      </c>
      <c r="C54" t="str">
        <f t="shared" ref="C54:Y54" si="13">IF(C53&gt;0,"+","")</f>
        <v/>
      </c>
      <c r="D54" t="str">
        <f t="shared" si="13"/>
        <v/>
      </c>
      <c r="E54" t="str">
        <f t="shared" si="13"/>
        <v/>
      </c>
      <c r="F54" t="str">
        <f t="shared" si="13"/>
        <v/>
      </c>
      <c r="G54" t="str">
        <f t="shared" si="13"/>
        <v/>
      </c>
      <c r="H54" t="str">
        <f t="shared" si="13"/>
        <v/>
      </c>
      <c r="I54" t="str">
        <f t="shared" si="13"/>
        <v/>
      </c>
      <c r="J54" t="str">
        <f t="shared" si="13"/>
        <v/>
      </c>
      <c r="K54" t="str">
        <f t="shared" si="13"/>
        <v/>
      </c>
      <c r="L54" t="str">
        <f t="shared" si="13"/>
        <v/>
      </c>
      <c r="M54" t="str">
        <f t="shared" si="13"/>
        <v/>
      </c>
      <c r="N54" t="str">
        <f t="shared" si="13"/>
        <v/>
      </c>
      <c r="O54" t="str">
        <f t="shared" si="13"/>
        <v/>
      </c>
      <c r="P54" t="str">
        <f t="shared" si="13"/>
        <v/>
      </c>
      <c r="Q54" t="str">
        <f t="shared" si="13"/>
        <v/>
      </c>
      <c r="R54" t="str">
        <f t="shared" si="13"/>
        <v/>
      </c>
      <c r="S54" t="str">
        <f t="shared" si="13"/>
        <v/>
      </c>
      <c r="T54" t="str">
        <f t="shared" si="13"/>
        <v>+</v>
      </c>
      <c r="U54" t="str">
        <f t="shared" si="13"/>
        <v>+</v>
      </c>
      <c r="V54" t="str">
        <f t="shared" si="13"/>
        <v>+</v>
      </c>
      <c r="W54" t="str">
        <f t="shared" si="13"/>
        <v>+</v>
      </c>
      <c r="X54" t="str">
        <f t="shared" si="13"/>
        <v>+</v>
      </c>
      <c r="Y54" s="7" t="str">
        <f t="shared" si="13"/>
        <v>+</v>
      </c>
      <c r="AA54" s="3"/>
    </row>
    <row r="55" spans="1:33" x14ac:dyDescent="0.35">
      <c r="B55" s="3"/>
      <c r="U55" s="3"/>
      <c r="V55" s="3"/>
      <c r="W55" s="3"/>
      <c r="X55" s="3"/>
      <c r="Y55" s="7"/>
    </row>
    <row r="56" spans="1:33" ht="18.5" x14ac:dyDescent="0.45">
      <c r="A56" s="22"/>
      <c r="H56" s="22"/>
    </row>
    <row r="57" spans="1:33" ht="18.5" x14ac:dyDescent="0.45">
      <c r="A57" s="55"/>
      <c r="B57" s="50"/>
      <c r="C57" s="54"/>
      <c r="H57" s="32"/>
      <c r="L57" s="20"/>
      <c r="AF57">
        <v>0.1283</v>
      </c>
      <c r="AG57" t="s">
        <v>59</v>
      </c>
    </row>
    <row r="58" spans="1:33" ht="18.5" x14ac:dyDescent="0.45">
      <c r="A58" s="52"/>
      <c r="B58" s="53"/>
      <c r="C58" s="4"/>
      <c r="H58" s="32"/>
      <c r="L58" s="20"/>
      <c r="AG58" t="s">
        <v>60</v>
      </c>
    </row>
    <row r="59" spans="1:33" ht="18.5" x14ac:dyDescent="0.45">
      <c r="A59" s="52"/>
      <c r="B59" s="31"/>
      <c r="C59" s="4"/>
      <c r="H59" s="32"/>
      <c r="L59" s="20"/>
    </row>
    <row r="60" spans="1:33" ht="18.5" x14ac:dyDescent="0.45">
      <c r="A60" s="52"/>
      <c r="B60" s="53"/>
      <c r="C60" s="4"/>
      <c r="H60" s="32"/>
      <c r="L60" s="20"/>
    </row>
    <row r="61" spans="1:33" ht="18.5" x14ac:dyDescent="0.45">
      <c r="A61" s="52"/>
      <c r="B61" s="31"/>
      <c r="C61" s="4"/>
      <c r="H61" s="32"/>
      <c r="L61" s="20"/>
    </row>
    <row r="62" spans="1:33" x14ac:dyDescent="0.35">
      <c r="U62" s="16"/>
      <c r="V62" s="16"/>
      <c r="W62" s="16"/>
      <c r="X62" s="16"/>
    </row>
    <row r="63" spans="1:33" ht="32.25" customHeight="1" x14ac:dyDescent="0.45">
      <c r="D63" s="49"/>
      <c r="E63" s="4"/>
      <c r="O63" s="4"/>
      <c r="P63" s="32"/>
    </row>
    <row r="65" spans="1:15" ht="18.5" x14ac:dyDescent="0.45">
      <c r="D65" s="49"/>
      <c r="E65" s="4"/>
      <c r="O65" s="4"/>
    </row>
    <row r="66" spans="1:15" ht="18.5" x14ac:dyDescent="0.45">
      <c r="D66" s="4"/>
      <c r="E66" s="4"/>
      <c r="O66" s="4"/>
    </row>
    <row r="70" spans="1:15" x14ac:dyDescent="0.35">
      <c r="A70" s="44"/>
    </row>
    <row r="71" spans="1:15" x14ac:dyDescent="0.35">
      <c r="A71" s="44"/>
    </row>
    <row r="72" spans="1:15" x14ac:dyDescent="0.35">
      <c r="A72" s="48"/>
    </row>
    <row r="73" spans="1:15" x14ac:dyDescent="0.35">
      <c r="A73" s="44"/>
    </row>
    <row r="80" spans="1:15" ht="16.5" customHeight="1" x14ac:dyDescent="0.35"/>
    <row r="81" ht="13.5" customHeight="1" x14ac:dyDescent="0.35"/>
    <row r="82" ht="13.5" customHeight="1" x14ac:dyDescent="0.35"/>
    <row r="120" spans="2:2" ht="18.5" x14ac:dyDescent="0.45">
      <c r="B120" s="4"/>
    </row>
    <row r="127" spans="2:2" ht="18.5" x14ac:dyDescent="0.45">
      <c r="B127" s="4"/>
    </row>
    <row r="134" spans="1:1" ht="18.5" x14ac:dyDescent="0.45">
      <c r="A134" s="4"/>
    </row>
    <row r="139" spans="1:1" x14ac:dyDescent="0.35">
      <c r="A139" s="5"/>
    </row>
  </sheetData>
  <sheetProtection algorithmName="SHA-512" hashValue="ATO2u3mXC8dlP95HBP0kd2hiu0p/zmlVA4MzX6E1kPpdz/Haz/93bR6vsVc4Viz+r64IVDtCWvcrnQsLADXBbw==" saltValue="7fEkssJLkttrnceyBqymNQ==" spinCount="100000" sheet="1" formatCells="0" formatColumns="0" formatRows="0" insertColumns="0" insertRows="0" insertHyperlinks="0" deleteColumns="0" deleteRows="0" sort="0" autoFilter="0" pivotTables="0"/>
  <pageMargins left="0.75" right="0.75" top="1" bottom="1" header="0.5" footer="0.5"/>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4D77-7A09-4C2E-8AC1-440092C4856D}">
  <dimension ref="A1:Q59"/>
  <sheetViews>
    <sheetView zoomScale="115" zoomScaleNormal="115" workbookViewId="0">
      <selection activeCell="B1" sqref="B1"/>
    </sheetView>
  </sheetViews>
  <sheetFormatPr defaultRowHeight="14.5" x14ac:dyDescent="0.35"/>
  <cols>
    <col min="1" max="1" width="40.7265625" customWidth="1"/>
    <col min="2" max="2" width="16.81640625" customWidth="1"/>
    <col min="3" max="3" width="26.453125" customWidth="1"/>
    <col min="4" max="4" width="133.7265625" customWidth="1"/>
    <col min="5" max="5" width="107.26953125" customWidth="1"/>
  </cols>
  <sheetData>
    <row r="1" spans="1:10" ht="18.5" x14ac:dyDescent="0.45">
      <c r="A1" s="136" t="s">
        <v>113</v>
      </c>
      <c r="B1" s="137"/>
    </row>
    <row r="2" spans="1:10" ht="18.5" x14ac:dyDescent="0.45">
      <c r="A2" s="4"/>
    </row>
    <row r="3" spans="1:10" x14ac:dyDescent="0.35">
      <c r="A3" s="1" t="s">
        <v>103</v>
      </c>
    </row>
    <row r="4" spans="1:10" x14ac:dyDescent="0.35">
      <c r="A4" t="s">
        <v>4</v>
      </c>
      <c r="B4" s="107" t="s">
        <v>102</v>
      </c>
      <c r="C4" t="s">
        <v>5</v>
      </c>
      <c r="D4" t="s">
        <v>6</v>
      </c>
      <c r="E4" t="s">
        <v>73</v>
      </c>
    </row>
    <row r="5" spans="1:10" x14ac:dyDescent="0.35">
      <c r="A5" s="108" t="s">
        <v>7</v>
      </c>
      <c r="B5" s="109"/>
      <c r="C5" s="109"/>
      <c r="D5" s="109"/>
      <c r="E5" s="109"/>
    </row>
    <row r="6" spans="1:10" x14ac:dyDescent="0.35">
      <c r="A6" s="109" t="s">
        <v>8</v>
      </c>
      <c r="B6" s="110">
        <v>752.4</v>
      </c>
      <c r="C6" s="111" t="s">
        <v>9</v>
      </c>
      <c r="D6" s="112" t="s">
        <v>65</v>
      </c>
      <c r="E6" s="109"/>
    </row>
    <row r="7" spans="1:10" x14ac:dyDescent="0.35">
      <c r="A7" s="109" t="s">
        <v>10</v>
      </c>
      <c r="B7" s="109">
        <v>44</v>
      </c>
      <c r="C7" s="109" t="s">
        <v>3</v>
      </c>
      <c r="D7" s="109" t="s">
        <v>80</v>
      </c>
      <c r="E7" s="109" t="s">
        <v>11</v>
      </c>
    </row>
    <row r="8" spans="1:10" x14ac:dyDescent="0.35">
      <c r="A8" s="113" t="s">
        <v>12</v>
      </c>
      <c r="B8" s="114">
        <v>150.84</v>
      </c>
      <c r="C8" s="109" t="s">
        <v>13</v>
      </c>
      <c r="D8" s="109" t="s">
        <v>14</v>
      </c>
      <c r="E8" s="109" t="s">
        <v>15</v>
      </c>
    </row>
    <row r="9" spans="1:10" ht="29" x14ac:dyDescent="0.35">
      <c r="A9" s="115" t="s">
        <v>16</v>
      </c>
      <c r="B9" s="116">
        <f>6*25+100/1.5</f>
        <v>216.66666666666669</v>
      </c>
      <c r="C9" s="109" t="s">
        <v>154</v>
      </c>
      <c r="D9" s="112" t="s">
        <v>17</v>
      </c>
      <c r="E9" s="117" t="s">
        <v>62</v>
      </c>
      <c r="G9" s="118"/>
      <c r="H9" s="107"/>
      <c r="I9" s="107"/>
      <c r="J9" s="107"/>
    </row>
    <row r="10" spans="1:10" s="107" customFormat="1" ht="30.65" customHeight="1" x14ac:dyDescent="0.35">
      <c r="A10" s="113" t="s">
        <v>18</v>
      </c>
      <c r="B10" s="114">
        <v>762.755</v>
      </c>
      <c r="C10" s="111" t="s">
        <v>19</v>
      </c>
      <c r="D10" s="112" t="s">
        <v>63</v>
      </c>
      <c r="E10" s="109"/>
    </row>
    <row r="11" spans="1:10" x14ac:dyDescent="0.35">
      <c r="A11" s="113" t="s">
        <v>20</v>
      </c>
      <c r="B11" s="119">
        <v>271</v>
      </c>
      <c r="C11" s="111" t="s">
        <v>9</v>
      </c>
      <c r="D11" s="109" t="s">
        <v>21</v>
      </c>
      <c r="E11" s="109" t="s">
        <v>22</v>
      </c>
    </row>
    <row r="12" spans="1:10" x14ac:dyDescent="0.35">
      <c r="A12" s="120" t="s">
        <v>23</v>
      </c>
      <c r="B12" s="57"/>
      <c r="C12" s="121"/>
      <c r="D12" s="121"/>
      <c r="E12" s="109"/>
    </row>
    <row r="13" spans="1:10" x14ac:dyDescent="0.35">
      <c r="A13" s="108" t="s">
        <v>24</v>
      </c>
      <c r="B13" s="109"/>
      <c r="C13" s="109"/>
      <c r="D13" s="109"/>
      <c r="E13" s="109"/>
    </row>
    <row r="14" spans="1:10" x14ac:dyDescent="0.35">
      <c r="A14" s="122" t="s">
        <v>25</v>
      </c>
      <c r="B14" s="123">
        <v>1560</v>
      </c>
      <c r="C14" s="123" t="s">
        <v>9</v>
      </c>
      <c r="D14" s="124" t="s">
        <v>26</v>
      </c>
      <c r="E14" s="121" t="s">
        <v>27</v>
      </c>
    </row>
    <row r="15" spans="1:10" x14ac:dyDescent="0.35">
      <c r="A15" s="109" t="s">
        <v>28</v>
      </c>
      <c r="B15" s="111">
        <v>425</v>
      </c>
      <c r="C15" s="109" t="s">
        <v>154</v>
      </c>
      <c r="D15" s="109" t="s">
        <v>97</v>
      </c>
      <c r="E15" s="109"/>
    </row>
    <row r="16" spans="1:10" x14ac:dyDescent="0.35">
      <c r="A16" s="109" t="s">
        <v>29</v>
      </c>
      <c r="B16" s="109">
        <v>46</v>
      </c>
      <c r="C16" s="121" t="s">
        <v>3</v>
      </c>
      <c r="D16" s="109" t="s">
        <v>98</v>
      </c>
      <c r="E16" s="109"/>
    </row>
    <row r="17" spans="1:5" x14ac:dyDescent="0.35">
      <c r="A17" s="108" t="s">
        <v>30</v>
      </c>
      <c r="B17" s="109"/>
      <c r="C17" s="109"/>
      <c r="D17" s="109"/>
      <c r="E17" s="109"/>
    </row>
    <row r="18" spans="1:5" ht="29" x14ac:dyDescent="0.35">
      <c r="A18" s="109" t="s">
        <v>64</v>
      </c>
      <c r="B18" s="114">
        <v>1006.4</v>
      </c>
      <c r="C18" s="123" t="s">
        <v>9</v>
      </c>
      <c r="D18" s="112" t="s">
        <v>99</v>
      </c>
      <c r="E18" s="58"/>
    </row>
    <row r="19" spans="1:5" x14ac:dyDescent="0.35">
      <c r="A19" s="109" t="s">
        <v>81</v>
      </c>
      <c r="B19" s="111">
        <v>1200</v>
      </c>
      <c r="C19" s="123"/>
      <c r="D19" s="58" t="s">
        <v>82</v>
      </c>
      <c r="E19" s="109"/>
    </row>
    <row r="20" spans="1:5" x14ac:dyDescent="0.35">
      <c r="A20" s="109" t="s">
        <v>31</v>
      </c>
      <c r="B20" s="111">
        <f>B10</f>
        <v>762.755</v>
      </c>
      <c r="C20" s="125" t="s">
        <v>19</v>
      </c>
      <c r="D20" s="112" t="s">
        <v>76</v>
      </c>
      <c r="E20" s="109"/>
    </row>
    <row r="21" spans="1:5" x14ac:dyDescent="0.35">
      <c r="A21" s="108" t="s">
        <v>32</v>
      </c>
      <c r="B21" s="109"/>
      <c r="C21" s="109"/>
      <c r="D21" s="109"/>
      <c r="E21" s="109"/>
    </row>
    <row r="22" spans="1:5" x14ac:dyDescent="0.35">
      <c r="A22" s="126" t="s">
        <v>33</v>
      </c>
      <c r="B22" s="127">
        <v>1164</v>
      </c>
      <c r="C22" s="121" t="s">
        <v>3</v>
      </c>
      <c r="D22" s="112" t="s">
        <v>0</v>
      </c>
      <c r="E22" s="109"/>
    </row>
    <row r="23" spans="1:5" x14ac:dyDescent="0.35">
      <c r="A23" s="108" t="s">
        <v>34</v>
      </c>
      <c r="B23" s="109"/>
      <c r="C23" s="109"/>
      <c r="D23" s="109"/>
      <c r="E23" s="109"/>
    </row>
    <row r="24" spans="1:5" x14ac:dyDescent="0.35">
      <c r="A24" t="s">
        <v>74</v>
      </c>
      <c r="B24" s="59">
        <v>229.55</v>
      </c>
      <c r="C24" s="123" t="s">
        <v>9</v>
      </c>
      <c r="D24" s="109" t="s">
        <v>75</v>
      </c>
      <c r="E24" s="109"/>
    </row>
    <row r="25" spans="1:5" x14ac:dyDescent="0.35">
      <c r="A25" s="108" t="s">
        <v>91</v>
      </c>
      <c r="B25" s="109"/>
      <c r="C25" s="109"/>
      <c r="D25" s="112"/>
      <c r="E25" s="109"/>
    </row>
    <row r="26" spans="1:5" ht="16.5" x14ac:dyDescent="0.35">
      <c r="A26" s="109" t="s">
        <v>92</v>
      </c>
      <c r="B26" s="110">
        <v>755.55555600000002</v>
      </c>
      <c r="C26" s="109" t="s">
        <v>104</v>
      </c>
      <c r="D26" s="109" t="s">
        <v>105</v>
      </c>
      <c r="E26" s="109" t="s">
        <v>13</v>
      </c>
    </row>
    <row r="31" spans="1:5" x14ac:dyDescent="0.35">
      <c r="A31" s="135" t="s">
        <v>155</v>
      </c>
    </row>
    <row r="32" spans="1:5" x14ac:dyDescent="0.35">
      <c r="A32" t="s">
        <v>150</v>
      </c>
    </row>
    <row r="33" spans="1:1" x14ac:dyDescent="0.35">
      <c r="A33" t="s">
        <v>151</v>
      </c>
    </row>
    <row r="34" spans="1:1" x14ac:dyDescent="0.35">
      <c r="A34" t="s">
        <v>152</v>
      </c>
    </row>
    <row r="35" spans="1:1" x14ac:dyDescent="0.35">
      <c r="A35" t="s">
        <v>153</v>
      </c>
    </row>
    <row r="59" spans="17:17" x14ac:dyDescent="0.35">
      <c r="Q59">
        <f>Lähtötiedot_kustannukset!B7</f>
        <v>44</v>
      </c>
    </row>
  </sheetData>
  <phoneticPr fontId="7"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DB2F7-B24B-4529-8C4D-B973C81A1B69}">
  <dimension ref="A1:D25"/>
  <sheetViews>
    <sheetView workbookViewId="0"/>
  </sheetViews>
  <sheetFormatPr defaultRowHeight="14.5" x14ac:dyDescent="0.35"/>
  <cols>
    <col min="1" max="1" width="62.1796875" customWidth="1"/>
    <col min="2" max="2" width="16.54296875" customWidth="1"/>
    <col min="3" max="3" width="17" customWidth="1"/>
    <col min="4" max="4" width="13.90625" customWidth="1"/>
  </cols>
  <sheetData>
    <row r="1" spans="1:4" ht="18.5" x14ac:dyDescent="0.45">
      <c r="A1" s="99" t="s">
        <v>113</v>
      </c>
    </row>
    <row r="4" spans="1:4" x14ac:dyDescent="0.35">
      <c r="A4" t="s">
        <v>110</v>
      </c>
    </row>
    <row r="5" spans="1:4" x14ac:dyDescent="0.35">
      <c r="A5" s="100"/>
      <c r="B5" s="100" t="s">
        <v>2</v>
      </c>
      <c r="C5" s="100" t="s">
        <v>66</v>
      </c>
      <c r="D5" s="100" t="s">
        <v>67</v>
      </c>
    </row>
    <row r="6" spans="1:4" x14ac:dyDescent="0.35">
      <c r="A6" s="100" t="s">
        <v>1</v>
      </c>
      <c r="B6" s="100">
        <v>17.600000000000001</v>
      </c>
      <c r="C6" s="101">
        <f>B6/3.6</f>
        <v>4.8888888888888893</v>
      </c>
      <c r="D6" s="101">
        <f>C6*1000/1000</f>
        <v>4.8888888888888893</v>
      </c>
    </row>
    <row r="9" spans="1:4" x14ac:dyDescent="0.35">
      <c r="A9" s="102" t="s">
        <v>109</v>
      </c>
      <c r="B9" t="s">
        <v>94</v>
      </c>
      <c r="C9" t="s">
        <v>101</v>
      </c>
    </row>
    <row r="10" spans="1:4" x14ac:dyDescent="0.35">
      <c r="A10" s="100" t="s">
        <v>70</v>
      </c>
      <c r="B10" s="101">
        <f>D6</f>
        <v>4.8888888888888893</v>
      </c>
      <c r="C10" s="100" t="s">
        <v>67</v>
      </c>
    </row>
    <row r="11" spans="1:4" x14ac:dyDescent="0.35">
      <c r="A11" s="100" t="s">
        <v>68</v>
      </c>
      <c r="B11" s="100">
        <v>40</v>
      </c>
      <c r="C11" s="100" t="s">
        <v>38</v>
      </c>
    </row>
    <row r="12" spans="1:4" x14ac:dyDescent="0.35">
      <c r="A12" s="100" t="s">
        <v>69</v>
      </c>
      <c r="B12" s="101">
        <f>D6*B11</f>
        <v>195.55555555555557</v>
      </c>
      <c r="C12" s="100" t="s">
        <v>72</v>
      </c>
    </row>
    <row r="13" spans="1:4" ht="15.5" x14ac:dyDescent="0.35">
      <c r="A13" s="103" t="s">
        <v>107</v>
      </c>
      <c r="B13" s="100">
        <v>360</v>
      </c>
      <c r="C13" s="100" t="s">
        <v>85</v>
      </c>
    </row>
    <row r="14" spans="1:4" ht="15.5" x14ac:dyDescent="0.35">
      <c r="A14" s="103" t="s">
        <v>119</v>
      </c>
      <c r="B14" s="100">
        <v>6.8</v>
      </c>
      <c r="C14" s="100" t="s">
        <v>93</v>
      </c>
    </row>
    <row r="15" spans="1:4" ht="15.5" x14ac:dyDescent="0.35">
      <c r="A15" s="103" t="s">
        <v>121</v>
      </c>
      <c r="B15" s="100">
        <v>4</v>
      </c>
      <c r="C15" s="100" t="s">
        <v>37</v>
      </c>
    </row>
    <row r="16" spans="1:4" x14ac:dyDescent="0.35">
      <c r="A16" s="100" t="s">
        <v>95</v>
      </c>
      <c r="B16" s="104">
        <f>B14/(B13/1000)</f>
        <v>18.888888888888889</v>
      </c>
      <c r="C16" s="100" t="s">
        <v>88</v>
      </c>
    </row>
    <row r="17" spans="1:3" x14ac:dyDescent="0.35">
      <c r="A17" s="100" t="s">
        <v>108</v>
      </c>
      <c r="B17" s="104">
        <f>B16*2.5</f>
        <v>47.222222222222221</v>
      </c>
      <c r="C17" s="100" t="s">
        <v>87</v>
      </c>
    </row>
    <row r="18" spans="1:3" x14ac:dyDescent="0.35">
      <c r="A18" s="100" t="s">
        <v>96</v>
      </c>
      <c r="B18" s="105">
        <f>(($B$13/2.5)/1000)*$B$12</f>
        <v>28.16</v>
      </c>
      <c r="C18" s="100" t="s">
        <v>86</v>
      </c>
    </row>
    <row r="19" spans="1:3" x14ac:dyDescent="0.35">
      <c r="A19" s="128" t="s">
        <v>120</v>
      </c>
      <c r="B19" s="129">
        <f>B17*B18*25*B15</f>
        <v>132977.77777777778</v>
      </c>
      <c r="C19" s="128" t="s">
        <v>122</v>
      </c>
    </row>
    <row r="22" spans="1:3" x14ac:dyDescent="0.35">
      <c r="A22" t="s">
        <v>111</v>
      </c>
    </row>
    <row r="23" spans="1:3" x14ac:dyDescent="0.35">
      <c r="A23" s="106" t="s">
        <v>84</v>
      </c>
    </row>
    <row r="24" spans="1:3" x14ac:dyDescent="0.35">
      <c r="A24" s="106" t="s">
        <v>83</v>
      </c>
    </row>
    <row r="25" spans="1:3" x14ac:dyDescent="0.35">
      <c r="A25" s="106" t="s">
        <v>112</v>
      </c>
    </row>
  </sheetData>
  <phoneticPr fontId="7" type="noConversion"/>
  <hyperlinks>
    <hyperlink ref="A24" r:id="rId1" display="https://www.abo.fi/wp-content/uploads/2025/05/infosheet3_part2_secure-bio-supply-fin.pdf" xr:uid="{D9CA828C-3CAB-4B93-B1DA-C2E92B92F920}"/>
    <hyperlink ref="A23" r:id="rId2" xr:uid="{29C7D2D3-72DD-4A82-AC22-88C4DB9C4BE9}"/>
    <hyperlink ref="A25" r:id="rId3" xr:uid="{193726BA-3A12-4AB0-B1BF-0D33C567B696}"/>
  </hyperlinks>
  <pageMargins left="0.7" right="0.7" top="0.75" bottom="0.75" header="0.3" footer="0.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ae9131-4000-4728-bddc-908f8615d2f8">
      <Terms xmlns="http://schemas.microsoft.com/office/infopath/2007/PartnerControls"/>
    </lcf76f155ced4ddcb4097134ff3c332f>
    <TaxCatchAll xmlns="4a8e9d7e-bebb-41a3-a9bb-02d1a0b554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24BBB979005734498098A7DFC811C06F" ma:contentTypeVersion="13" ma:contentTypeDescription="Luo uusi asiakirja." ma:contentTypeScope="" ma:versionID="f39088c465e061e056fa3515176ed768">
  <xsd:schema xmlns:xsd="http://www.w3.org/2001/XMLSchema" xmlns:xs="http://www.w3.org/2001/XMLSchema" xmlns:p="http://schemas.microsoft.com/office/2006/metadata/properties" xmlns:ns2="daae9131-4000-4728-bddc-908f8615d2f8" xmlns:ns3="4a8e9d7e-bebb-41a3-a9bb-02d1a0b554f4" targetNamespace="http://schemas.microsoft.com/office/2006/metadata/properties" ma:root="true" ma:fieldsID="7e09fa17b651b30572d86459e05d9e7e" ns2:_="" ns3:_="">
    <xsd:import namespace="daae9131-4000-4728-bddc-908f8615d2f8"/>
    <xsd:import namespace="4a8e9d7e-bebb-41a3-a9bb-02d1a0b554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ae9131-4000-4728-bddc-908f8615d2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b01726c3-d2e9-4678-ba3a-dcee94d8fe8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8e9d7e-bebb-41a3-a9bb-02d1a0b554f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3992583-3e33-4420-a5f9-9f99120bb9ff}" ma:internalName="TaxCatchAll" ma:showField="CatchAllData" ma:web="4a8e9d7e-bebb-41a3-a9bb-02d1a0b554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A7E2E5-37FB-435A-B730-CCFA45B186F0}">
  <ds:schemaRefs>
    <ds:schemaRef ds:uri="http://schemas.microsoft.com/sharepoint/v3/contenttype/forms"/>
  </ds:schemaRefs>
</ds:datastoreItem>
</file>

<file path=customXml/itemProps2.xml><?xml version="1.0" encoding="utf-8"?>
<ds:datastoreItem xmlns:ds="http://schemas.openxmlformats.org/officeDocument/2006/customXml" ds:itemID="{F8C89EF4-7870-4D3A-820D-CD094EE02330}">
  <ds:schemaRefs>
    <ds:schemaRef ds:uri="http://schemas.microsoft.com/office/2006/metadata/properties"/>
    <ds:schemaRef ds:uri="http://schemas.microsoft.com/office/infopath/2007/PartnerControls"/>
    <ds:schemaRef ds:uri="daae9131-4000-4728-bddc-908f8615d2f8"/>
    <ds:schemaRef ds:uri="4a8e9d7e-bebb-41a3-a9bb-02d1a0b554f4"/>
  </ds:schemaRefs>
</ds:datastoreItem>
</file>

<file path=customXml/itemProps3.xml><?xml version="1.0" encoding="utf-8"?>
<ds:datastoreItem xmlns:ds="http://schemas.openxmlformats.org/officeDocument/2006/customXml" ds:itemID="{63F14587-F82F-4B0F-BE44-222BDE7774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ae9131-4000-4728-bddc-908f8615d2f8"/>
    <ds:schemaRef ds:uri="4a8e9d7e-bebb-41a3-a9bb-02d1a0b554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4</vt:i4>
      </vt:variant>
      <vt:variant>
        <vt:lpstr>Kaaviot</vt:lpstr>
      </vt:variant>
      <vt:variant>
        <vt:i4>1</vt:i4>
      </vt:variant>
    </vt:vector>
  </HeadingPairs>
  <TitlesOfParts>
    <vt:vector size="5" baseType="lpstr">
      <vt:lpstr>Ohje työkirjan käyttöön</vt:lpstr>
      <vt:lpstr>Kassavirta_kuivike</vt:lpstr>
      <vt:lpstr>Lähtötiedot_kustannukset</vt:lpstr>
      <vt:lpstr>Lähtötiedot_tuotot</vt:lpstr>
      <vt:lpstr>Kuvaaja kassavirta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Katri Juva</cp:lastModifiedBy>
  <cp:revision/>
  <dcterms:created xsi:type="dcterms:W3CDTF">2026-01-22T11:08:45Z</dcterms:created>
  <dcterms:modified xsi:type="dcterms:W3CDTF">2026-10-07T12:05:04Z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0x01010024BBB979005734498098A7DFC811C06F</vt:lpwstr>
  </property>
  <property fmtid="{D5CDD505-2E9C-101B-9397-08002B2CF9AE}" pid="3" name="MediaServiceImageTags">
    <vt:lpwstr/>
  </property>
</Properties>
</file>