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atafood.sharepoint.com/sites/Pajuarvoketjuistauuttaliiketoimintaa/Jaetut asiakirjat/Tuotokset ja julkaisut/Kannattavuuslaskelmat/"/>
    </mc:Choice>
  </mc:AlternateContent>
  <xr:revisionPtr revIDLastSave="329" documentId="8_{C1B8DF40-E5F4-43D3-8D5C-9B868F268CFF}" xr6:coauthVersionLast="47" xr6:coauthVersionMax="47" xr10:uidLastSave="{2EC62E3F-3EC7-4FA8-A583-D6CF701DC729}"/>
  <bookViews>
    <workbookView xWindow="-38520" yWindow="-120" windowWidth="38640" windowHeight="21120" tabRatio="799" activeTab="1" xr2:uid="{00000000-000D-0000-FFFF-FFFF00000000}"/>
  </bookViews>
  <sheets>
    <sheet name="Ohje työkirjan käyttöön" sheetId="22" r:id="rId1"/>
    <sheet name="Biohiili_kassavirta" sheetId="19" r:id="rId2"/>
    <sheet name="Kaavio1" sheetId="21" r:id="rId3"/>
    <sheet name="Lähtötiedot_kustannukset" sheetId="3" r:id="rId4"/>
    <sheet name="Lähtötiedot_tuotot" sheetId="1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3" l="1"/>
  <c r="C7" i="13"/>
  <c r="Y43" i="19"/>
  <c r="X43" i="19"/>
  <c r="W43" i="19"/>
  <c r="V43" i="19"/>
  <c r="U43" i="19"/>
  <c r="T43" i="19"/>
  <c r="S43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F43" i="19"/>
  <c r="Y42" i="19"/>
  <c r="X42" i="19"/>
  <c r="W42" i="19"/>
  <c r="V42" i="19"/>
  <c r="U42" i="19"/>
  <c r="T42" i="19"/>
  <c r="S42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F42" i="19"/>
  <c r="Y41" i="19"/>
  <c r="X41" i="19"/>
  <c r="W41" i="19"/>
  <c r="V41" i="19"/>
  <c r="U41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F41" i="19"/>
  <c r="E40" i="19"/>
  <c r="E38" i="19"/>
  <c r="B34" i="3"/>
  <c r="B31" i="3"/>
  <c r="N31" i="19" s="1"/>
  <c r="B20" i="3"/>
  <c r="Y30" i="19" l="1"/>
  <c r="X30" i="19"/>
  <c r="W30" i="19"/>
  <c r="K30" i="19"/>
  <c r="V30" i="19"/>
  <c r="U30" i="19"/>
  <c r="T30" i="19"/>
  <c r="Q30" i="19"/>
  <c r="O30" i="19"/>
  <c r="N30" i="19"/>
  <c r="L30" i="19"/>
  <c r="J30" i="19"/>
  <c r="G30" i="19"/>
  <c r="S30" i="19"/>
  <c r="R30" i="19"/>
  <c r="P30" i="19"/>
  <c r="I30" i="19"/>
  <c r="F30" i="19"/>
  <c r="M30" i="19"/>
  <c r="H30" i="19"/>
  <c r="Y31" i="19"/>
  <c r="X31" i="19"/>
  <c r="W31" i="19"/>
  <c r="S31" i="19"/>
  <c r="Q31" i="19"/>
  <c r="P31" i="19"/>
  <c r="M31" i="19"/>
  <c r="K31" i="19"/>
  <c r="I31" i="19"/>
  <c r="G31" i="19"/>
  <c r="V31" i="19"/>
  <c r="U31" i="19"/>
  <c r="T31" i="19"/>
  <c r="R31" i="19"/>
  <c r="O31" i="19"/>
  <c r="L31" i="19"/>
  <c r="J31" i="19"/>
  <c r="H31" i="19"/>
  <c r="F31" i="19"/>
  <c r="E55" i="19" l="1"/>
  <c r="E61" i="19" s="1"/>
  <c r="D55" i="19"/>
  <c r="D61" i="19" s="1"/>
  <c r="C55" i="19"/>
  <c r="C61" i="19" s="1"/>
  <c r="B57" i="19"/>
  <c r="B58" i="19" s="1"/>
  <c r="B55" i="19"/>
  <c r="B61" i="19" s="1"/>
  <c r="Y29" i="19"/>
  <c r="X29" i="19"/>
  <c r="W29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F27" i="19"/>
  <c r="E27" i="19"/>
  <c r="D27" i="19"/>
  <c r="C27" i="19"/>
  <c r="E26" i="19"/>
  <c r="E25" i="19"/>
  <c r="D26" i="19"/>
  <c r="D25" i="19"/>
  <c r="C26" i="19"/>
  <c r="C25" i="19"/>
  <c r="E21" i="19"/>
  <c r="E20" i="19"/>
  <c r="E19" i="19"/>
  <c r="D21" i="19"/>
  <c r="D20" i="19"/>
  <c r="D19" i="19"/>
  <c r="C21" i="19"/>
  <c r="C20" i="19"/>
  <c r="C19" i="19"/>
  <c r="B26" i="19"/>
  <c r="B25" i="19"/>
  <c r="B21" i="19"/>
  <c r="B20" i="19"/>
  <c r="B19" i="19"/>
  <c r="B14" i="13" l="1"/>
  <c r="D7" i="13" l="1"/>
  <c r="B17" i="13"/>
  <c r="B19" i="13" s="1"/>
  <c r="C6" i="13" l="1"/>
  <c r="D6" i="13" l="1"/>
  <c r="C8" i="13"/>
  <c r="D8" i="13" s="1"/>
  <c r="X48" i="19"/>
  <c r="F48" i="19"/>
  <c r="W48" i="19"/>
  <c r="V48" i="19"/>
  <c r="W46" i="19"/>
  <c r="F46" i="19"/>
  <c r="V46" i="19"/>
  <c r="X46" i="19"/>
  <c r="S46" i="19"/>
  <c r="Q46" i="19"/>
  <c r="K46" i="19"/>
  <c r="I46" i="19"/>
  <c r="H46" i="19"/>
  <c r="R46" i="19"/>
  <c r="O46" i="19"/>
  <c r="N46" i="19"/>
  <c r="G46" i="19"/>
  <c r="P46" i="19"/>
  <c r="L46" i="19"/>
  <c r="Y46" i="19"/>
  <c r="T46" i="19"/>
  <c r="J46" i="19"/>
  <c r="U46" i="19"/>
  <c r="M46" i="19"/>
  <c r="K48" i="19"/>
  <c r="G48" i="19"/>
  <c r="U48" i="19"/>
  <c r="L48" i="19"/>
  <c r="J48" i="19"/>
  <c r="I48" i="19"/>
  <c r="Y48" i="19"/>
  <c r="N48" i="19"/>
  <c r="H48" i="19"/>
  <c r="T48" i="19"/>
  <c r="S48" i="19"/>
  <c r="R48" i="19"/>
  <c r="Q48" i="19"/>
  <c r="O48" i="19"/>
  <c r="M48" i="19"/>
  <c r="P48" i="19"/>
  <c r="Y47" i="19" l="1"/>
  <c r="Y55" i="19" s="1"/>
  <c r="Y61" i="19" s="1"/>
  <c r="I47" i="19"/>
  <c r="I55" i="19" s="1"/>
  <c r="I61" i="19" s="1"/>
  <c r="U47" i="19"/>
  <c r="U55" i="19" s="1"/>
  <c r="U61" i="19" s="1"/>
  <c r="K47" i="19"/>
  <c r="K55" i="19" s="1"/>
  <c r="K61" i="19" s="1"/>
  <c r="H47" i="19"/>
  <c r="H55" i="19" s="1"/>
  <c r="H61" i="19" s="1"/>
  <c r="L47" i="19"/>
  <c r="L55" i="19" s="1"/>
  <c r="L61" i="19" s="1"/>
  <c r="G47" i="19"/>
  <c r="G55" i="19" s="1"/>
  <c r="N47" i="19"/>
  <c r="N55" i="19" s="1"/>
  <c r="N61" i="19" s="1"/>
  <c r="W47" i="19"/>
  <c r="W55" i="19" s="1"/>
  <c r="W61" i="19" s="1"/>
  <c r="Q47" i="19"/>
  <c r="Q55" i="19" s="1"/>
  <c r="Q61" i="19" s="1"/>
  <c r="P47" i="19"/>
  <c r="P55" i="19" s="1"/>
  <c r="P61" i="19" s="1"/>
  <c r="T47" i="19"/>
  <c r="T55" i="19" s="1"/>
  <c r="T61" i="19" s="1"/>
  <c r="R47" i="19"/>
  <c r="R55" i="19" s="1"/>
  <c r="R61" i="19" s="1"/>
  <c r="J47" i="19"/>
  <c r="J55" i="19" s="1"/>
  <c r="J61" i="19" s="1"/>
  <c r="M47" i="19"/>
  <c r="M55" i="19" s="1"/>
  <c r="M61" i="19" s="1"/>
  <c r="S47" i="19"/>
  <c r="S55" i="19" s="1"/>
  <c r="S61" i="19" s="1"/>
  <c r="O47" i="19"/>
  <c r="O55" i="19" s="1"/>
  <c r="O61" i="19" s="1"/>
  <c r="V47" i="19"/>
  <c r="V55" i="19" s="1"/>
  <c r="V61" i="19" s="1"/>
  <c r="X47" i="19"/>
  <c r="X55" i="19" s="1"/>
  <c r="X61" i="19" s="1"/>
  <c r="F47" i="19"/>
  <c r="F55" i="19" s="1"/>
  <c r="Z48" i="19"/>
  <c r="Z46" i="19"/>
  <c r="Z47" i="19" l="1"/>
  <c r="F61" i="19"/>
  <c r="Z55" i="19"/>
  <c r="G61" i="19"/>
  <c r="Z61" i="19" l="1"/>
  <c r="B8" i="3"/>
  <c r="D22" i="19" l="1"/>
  <c r="B22" i="19"/>
  <c r="E22" i="19"/>
  <c r="C22" i="19"/>
  <c r="X34" i="19"/>
  <c r="W34" i="19"/>
  <c r="V34" i="19"/>
  <c r="Y34" i="19"/>
  <c r="U36" i="19" l="1"/>
  <c r="N36" i="19"/>
  <c r="D36" i="19"/>
  <c r="B36" i="19"/>
  <c r="Y36" i="19"/>
  <c r="T36" i="19"/>
  <c r="S36" i="19"/>
  <c r="Q36" i="19"/>
  <c r="O36" i="19"/>
  <c r="M36" i="19"/>
  <c r="K36" i="19"/>
  <c r="G36" i="19"/>
  <c r="V36" i="19"/>
  <c r="H36" i="19"/>
  <c r="C36" i="19"/>
  <c r="X36" i="19"/>
  <c r="J36" i="19"/>
  <c r="W36" i="19"/>
  <c r="R36" i="19"/>
  <c r="P36" i="19"/>
  <c r="L36" i="19"/>
  <c r="I36" i="19"/>
  <c r="F36" i="19"/>
  <c r="E36" i="19"/>
  <c r="B54" i="19" l="1"/>
  <c r="B60" i="19" s="1"/>
  <c r="B56" i="19"/>
  <c r="B63" i="19" s="1"/>
  <c r="B64" i="19" s="1"/>
  <c r="B65" i="19" s="1"/>
  <c r="Y54" i="19"/>
  <c r="Y60" i="19" s="1"/>
  <c r="Y56" i="19"/>
  <c r="Y63" i="19" s="1"/>
  <c r="Q69" i="3"/>
  <c r="X32" i="19" l="1"/>
  <c r="V32" i="19"/>
  <c r="S32" i="19"/>
  <c r="Q32" i="19"/>
  <c r="O32" i="19"/>
  <c r="M32" i="19"/>
  <c r="K32" i="19"/>
  <c r="H32" i="19"/>
  <c r="F32" i="19"/>
  <c r="E23" i="19"/>
  <c r="D23" i="19"/>
  <c r="W32" i="19"/>
  <c r="U32" i="19"/>
  <c r="T32" i="19"/>
  <c r="R32" i="19"/>
  <c r="P32" i="19"/>
  <c r="N32" i="19"/>
  <c r="L32" i="19"/>
  <c r="J32" i="19"/>
  <c r="I32" i="19"/>
  <c r="G32" i="19"/>
  <c r="F23" i="19"/>
  <c r="C23" i="19"/>
  <c r="X56" i="19" l="1"/>
  <c r="X63" i="19" s="1"/>
  <c r="X54" i="19"/>
  <c r="X60" i="19" s="1"/>
  <c r="V54" i="19"/>
  <c r="V60" i="19" s="1"/>
  <c r="V56" i="19"/>
  <c r="V63" i="19" s="1"/>
  <c r="E54" i="19"/>
  <c r="E60" i="19" s="1"/>
  <c r="E56" i="19"/>
  <c r="E63" i="19" s="1"/>
  <c r="D56" i="19"/>
  <c r="D63" i="19" s="1"/>
  <c r="D54" i="19"/>
  <c r="D60" i="19" s="1"/>
  <c r="W54" i="19"/>
  <c r="W60" i="19" s="1"/>
  <c r="W56" i="19"/>
  <c r="W63" i="19" s="1"/>
  <c r="F56" i="19"/>
  <c r="F63" i="19" s="1"/>
  <c r="F54" i="19"/>
  <c r="F60" i="19" s="1"/>
  <c r="C56" i="19"/>
  <c r="C63" i="19" s="1"/>
  <c r="C64" i="19" s="1"/>
  <c r="C57" i="19"/>
  <c r="C54" i="19"/>
  <c r="C60" i="19" s="1"/>
  <c r="C65" i="19" l="1"/>
  <c r="D64" i="19"/>
  <c r="C58" i="19"/>
  <c r="D57" i="19"/>
  <c r="E64" i="19" l="1"/>
  <c r="D65" i="19"/>
  <c r="E57" i="19"/>
  <c r="D58" i="19"/>
  <c r="E65" i="19" l="1"/>
  <c r="F64" i="19"/>
  <c r="F65" i="19" s="1"/>
  <c r="F57" i="19"/>
  <c r="F58" i="19" s="1"/>
  <c r="E58" i="19"/>
  <c r="I54" i="19" l="1"/>
  <c r="I60" i="19" s="1"/>
  <c r="H56" i="19"/>
  <c r="H63" i="19" s="1"/>
  <c r="K54" i="19"/>
  <c r="K60" i="19" s="1"/>
  <c r="L54" i="19"/>
  <c r="L60" i="19" s="1"/>
  <c r="G57" i="19"/>
  <c r="T54" i="19"/>
  <c r="T60" i="19" s="1"/>
  <c r="R56" i="19"/>
  <c r="R63" i="19" s="1"/>
  <c r="P54" i="19"/>
  <c r="P60" i="19" s="1"/>
  <c r="O56" i="19"/>
  <c r="O63" i="19" s="1"/>
  <c r="U54" i="19"/>
  <c r="U60" i="19" s="1"/>
  <c r="S54" i="19"/>
  <c r="S60" i="19" s="1"/>
  <c r="Q54" i="19"/>
  <c r="Q60" i="19" s="1"/>
  <c r="N54" i="19"/>
  <c r="N60" i="19" s="1"/>
  <c r="M56" i="19"/>
  <c r="M63" i="19" s="1"/>
  <c r="J54" i="19"/>
  <c r="J60" i="19" s="1"/>
  <c r="J56" i="19"/>
  <c r="J63" i="19" s="1"/>
  <c r="S56" i="19" l="1"/>
  <c r="S63" i="19" s="1"/>
  <c r="M54" i="19"/>
  <c r="M60" i="19" s="1"/>
  <c r="H54" i="19"/>
  <c r="H60" i="19" s="1"/>
  <c r="Q56" i="19"/>
  <c r="Q63" i="19" s="1"/>
  <c r="I56" i="19"/>
  <c r="I63" i="19" s="1"/>
  <c r="K56" i="19"/>
  <c r="K63" i="19" s="1"/>
  <c r="L56" i="19"/>
  <c r="L63" i="19" s="1"/>
  <c r="R54" i="19"/>
  <c r="R60" i="19" s="1"/>
  <c r="O54" i="19"/>
  <c r="O60" i="19" s="1"/>
  <c r="G54" i="19"/>
  <c r="T56" i="19"/>
  <c r="T63" i="19" s="1"/>
  <c r="P56" i="19"/>
  <c r="P63" i="19" s="1"/>
  <c r="G56" i="19"/>
  <c r="N56" i="19"/>
  <c r="N63" i="19" s="1"/>
  <c r="U56" i="19"/>
  <c r="U63" i="19" s="1"/>
  <c r="G58" i="19"/>
  <c r="H57" i="19"/>
  <c r="Z54" i="19" l="1"/>
  <c r="G63" i="19"/>
  <c r="B11" i="19"/>
  <c r="Z56" i="19"/>
  <c r="B10" i="19"/>
  <c r="G60" i="19"/>
  <c r="Z60" i="19" s="1"/>
  <c r="I57" i="19"/>
  <c r="H58" i="19"/>
  <c r="Z63" i="19" l="1"/>
  <c r="G64" i="19"/>
  <c r="J57" i="19"/>
  <c r="I58" i="19"/>
  <c r="H64" i="19" l="1"/>
  <c r="G65" i="19"/>
  <c r="K57" i="19"/>
  <c r="J58" i="19"/>
  <c r="H65" i="19" l="1"/>
  <c r="I64" i="19"/>
  <c r="L57" i="19"/>
  <c r="K58" i="19"/>
  <c r="I65" i="19" l="1"/>
  <c r="J64" i="19"/>
  <c r="L58" i="19"/>
  <c r="M57" i="19"/>
  <c r="J65" i="19" l="1"/>
  <c r="K64" i="19"/>
  <c r="M58" i="19"/>
  <c r="N57" i="19"/>
  <c r="K65" i="19" l="1"/>
  <c r="L64" i="19"/>
  <c r="O57" i="19"/>
  <c r="N58" i="19"/>
  <c r="L65" i="19" l="1"/>
  <c r="M64" i="19"/>
  <c r="P57" i="19"/>
  <c r="O58" i="19"/>
  <c r="M65" i="19" l="1"/>
  <c r="N64" i="19"/>
  <c r="P58" i="19"/>
  <c r="Q57" i="19"/>
  <c r="N65" i="19" l="1"/>
  <c r="O64" i="19"/>
  <c r="R57" i="19"/>
  <c r="Q58" i="19"/>
  <c r="O65" i="19" l="1"/>
  <c r="P64" i="19"/>
  <c r="S57" i="19"/>
  <c r="R58" i="19"/>
  <c r="P65" i="19" l="1"/>
  <c r="Q64" i="19"/>
  <c r="T57" i="19"/>
  <c r="S58" i="19"/>
  <c r="Q65" i="19" l="1"/>
  <c r="R64" i="19"/>
  <c r="T58" i="19"/>
  <c r="U57" i="19"/>
  <c r="V57" i="19" s="1"/>
  <c r="R65" i="19" l="1"/>
  <c r="S64" i="19"/>
  <c r="V58" i="19"/>
  <c r="W57" i="19"/>
  <c r="U58" i="19"/>
  <c r="S65" i="19" l="1"/>
  <c r="T64" i="19"/>
  <c r="W58" i="19"/>
  <c r="X57" i="19"/>
  <c r="T65" i="19" l="1"/>
  <c r="U64" i="19"/>
  <c r="X58" i="19"/>
  <c r="Y57" i="19"/>
  <c r="Y58" i="19" s="1"/>
  <c r="U65" i="19" l="1"/>
  <c r="V64" i="19"/>
  <c r="V65" i="19" l="1"/>
  <c r="W64" i="19"/>
  <c r="X64" i="19" l="1"/>
  <c r="W65" i="19"/>
  <c r="Y64" i="19" l="1"/>
  <c r="Y65" i="19" s="1"/>
  <c r="X65" i="19"/>
  <c r="B12" i="19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<sst xmlns="http://schemas.openxmlformats.org/spreadsheetml/2006/main" count="240" uniqueCount="205">
  <si>
    <t>€/ha</t>
  </si>
  <si>
    <t>Kasvuston kemiallinen tuhoaminen (glyfosaattivalmiste 6—8 I/ha), kantojen jyrsintä</t>
  </si>
  <si>
    <t>Viherä-Aarnio ym. 2022</t>
  </si>
  <si>
    <t>Lähde</t>
  </si>
  <si>
    <t>Lisätietoa</t>
  </si>
  <si>
    <t>Viljelysmaan perustaminen</t>
  </si>
  <si>
    <t>Ojitus + ojarumpu</t>
  </si>
  <si>
    <t xml:space="preserve">Awuah ym. 2026 </t>
  </si>
  <si>
    <t>Maanmuokkaustyöt</t>
  </si>
  <si>
    <t>Awuah ym. 2026: soil leveling 91 €/ha</t>
  </si>
  <si>
    <t>Rikantorjunta, glyfosaatti + levitys</t>
  </si>
  <si>
    <t>Awuah ym. 2026</t>
  </si>
  <si>
    <t xml:space="preserve">Glyfosaattia 6 L/ha, hinta 21,49 €/L, levitys 22€/ha. </t>
  </si>
  <si>
    <t>Viherä-Aarnio ym. 2022 lähteessä paljon halvempi.</t>
  </si>
  <si>
    <t>pH:n nosto: tuhka (vaihtoehtoinen) + kuljetus</t>
  </si>
  <si>
    <t>Tuhka 6 tn/ha, 25 €/tn. + levityskustannus: 100€/ha / 1,5 ha/h = 67 €/ha</t>
  </si>
  <si>
    <t>Lannoitus: karjanlanta + kuljetus</t>
  </si>
  <si>
    <t>Awuah ym. 2026 ja Viherä-Aarnio ym. 2022</t>
  </si>
  <si>
    <t>pH:n nosto: kalkki + levitys</t>
  </si>
  <si>
    <t>10 tn/ha, kustannus 21 €/tn.</t>
  </si>
  <si>
    <t>Lähteessä Viherä-Aarnio ym. 2022 määrä 6 tn/ha ja kustannus 41,6 €/tn --&gt; 2 x kalliimpi, levityskustannus mukana hinnassa?</t>
  </si>
  <si>
    <t>Lannoitus: mineraalilannoitus</t>
  </si>
  <si>
    <t>Istuttaminen</t>
  </si>
  <si>
    <t>Pistokkaat</t>
  </si>
  <si>
    <t>13000 pistokasta /ha, a´hinta 0,12 €, lähde: Awuah ym. 2026 (Neovan Karhunsuon koeviljelmä)</t>
  </si>
  <si>
    <t>Lähteessä Viherä-Aarnio ym. 2022: Pistokkaat (12 800 kpl + istutus) = 2406 €/ha</t>
  </si>
  <si>
    <t>Istutustyön hinta</t>
  </si>
  <si>
    <t>Alasleikkuu</t>
  </si>
  <si>
    <t>Sadonkorjuu ja hoito</t>
  </si>
  <si>
    <t>Lannoitus sadonkorjuun jälkeen</t>
  </si>
  <si>
    <t>Lopetus</t>
  </si>
  <si>
    <t>Kasvuston kemiallinen lopetus + jyrsintä</t>
  </si>
  <si>
    <t>Muut kustannukset</t>
  </si>
  <si>
    <t>Maa-alueen kustannukset, suo: vuokra</t>
  </si>
  <si>
    <t>Tuotot</t>
  </si>
  <si>
    <t>Lähtötiedot</t>
  </si>
  <si>
    <t>vuotta</t>
  </si>
  <si>
    <t>Vuosi</t>
  </si>
  <si>
    <t>Lohkon perustaminen</t>
  </si>
  <si>
    <t>Ojitus</t>
  </si>
  <si>
    <t>pH:n nosto: tuhka + kuljetus</t>
  </si>
  <si>
    <t>Istutus</t>
  </si>
  <si>
    <t>Istutustyö</t>
  </si>
  <si>
    <t>Lannoitus sadonkorjuun jälkeen (karjanlanta + kuljetus)</t>
  </si>
  <si>
    <t>Nimellinen (ei korkoa):</t>
  </si>
  <si>
    <t>Vuoden menot yht.</t>
  </si>
  <si>
    <t>Vuoden tulot yht.</t>
  </si>
  <si>
    <t>Kaikki tulot yhteensä</t>
  </si>
  <si>
    <t>Nettokassavirta</t>
  </si>
  <si>
    <t>nettokassavirta yht.</t>
  </si>
  <si>
    <t>Kumulatiivinen nettokassavirta</t>
  </si>
  <si>
    <t>Takaisinmaksuajan etsintä</t>
  </si>
  <si>
    <t>Diskontattu:</t>
  </si>
  <si>
    <t>Vuoden diskontatut menot</t>
  </si>
  <si>
    <t xml:space="preserve">Vuoden diskontatut tulot yht. </t>
  </si>
  <si>
    <t>diskontatut tulot yht.</t>
  </si>
  <si>
    <t>Diskontattu nettokassavirta</t>
  </si>
  <si>
    <t>diskontattu nettokassavirta yht.</t>
  </si>
  <si>
    <t>Kumulatiivinen diskontattu kassavirta</t>
  </si>
  <si>
    <t>Diskontattu takaisinmaksuaika etsintä</t>
  </si>
  <si>
    <t>Takaisinmaksuaika</t>
  </si>
  <si>
    <t>Alasleikkuu istutusta seuraavana vuonna, jotta paju saadaan haaroittumaan.</t>
  </si>
  <si>
    <t>Koneellinen istutus Suutarin kaksirivisellä istutuskoneilla.</t>
  </si>
  <si>
    <t>Lähteessä Viherä-Aarnio ym. 2022 sekä Awuah ym. 2026 paljon kalliimpi: (Viherä-Aarnio ym. 2022: 370 €/ha levitysmäärällä 5 t/ha</t>
  </si>
  <si>
    <r>
      <rPr>
        <sz val="11"/>
        <rFont val="Calibri"/>
        <family val="2"/>
        <scheme val="minor"/>
      </rPr>
      <t>Lietelannan hinta 10 €/tn</t>
    </r>
    <r>
      <rPr>
        <sz val="11"/>
        <color theme="1"/>
        <rFont val="Calibri"/>
        <family val="2"/>
        <scheme val="minor"/>
      </rPr>
      <t xml:space="preserve"> (Awuah ym. 2026), määrä 30 t/ha (Suutari 2020, Kurki 2016). Kuljetus + levitys 442 €/ha 10 km päähän. Levitys multaavalla vaunulla.</t>
    </r>
  </si>
  <si>
    <t>Korjuukustannus ajosilppurilla</t>
  </si>
  <si>
    <t>Neovan Karhunsuon koeviljelmä, mukana tierumpu 57 € (kappalehinta) sekä ojitustyö 695 €/ha</t>
  </si>
  <si>
    <t>Diskonttokorko</t>
  </si>
  <si>
    <t>Vaihtoehtoisia kustannustietoja</t>
  </si>
  <si>
    <t>Maa-alueen vuokra</t>
  </si>
  <si>
    <t>Entisen turvetuotantoalueen vuokra</t>
  </si>
  <si>
    <t>Lannoituskustannus per lannoituskerta. Sama kuin perustamislannoitus eli maksimi. HUOM kerro sadonkorjuun määrillä -1</t>
  </si>
  <si>
    <t>KASSAVIRTA</t>
  </si>
  <si>
    <t>Arvo</t>
  </si>
  <si>
    <t>Yksikkö</t>
  </si>
  <si>
    <t>Biohiilituotanto</t>
  </si>
  <si>
    <t>Kuivauslaitteistoinvestointi</t>
  </si>
  <si>
    <t>Työvoimakustannukset</t>
  </si>
  <si>
    <t>Biohiilen myyntituotto</t>
  </si>
  <si>
    <t>Hiilikrediittien myynti</t>
  </si>
  <si>
    <t>ha</t>
  </si>
  <si>
    <t>Lisätiedot</t>
  </si>
  <si>
    <t>€/vuosi</t>
  </si>
  <si>
    <t>t/vuosi</t>
  </si>
  <si>
    <t>Laitoksen energiankulutus (sis- pyrolyysi ja kuivaus)</t>
  </si>
  <si>
    <t>Käyttö- ja ylläpito (huollot, vakuutukset, luvat, labrat jne.)</t>
  </si>
  <si>
    <t>Biomacon 63 kW-pyrolyysilaitteisto</t>
  </si>
  <si>
    <t>Biohiililaitosinvestointi (sis. rakennus)</t>
  </si>
  <si>
    <t>Investoinnit varastoihin ym. Infraan</t>
  </si>
  <si>
    <t>t ka/ha/v</t>
  </si>
  <si>
    <t>BioMacon 63 kW</t>
  </si>
  <si>
    <t>kg/h</t>
  </si>
  <si>
    <t>Pyrolyysilaitteiston käyttötunnit vuodessa</t>
  </si>
  <si>
    <t>h/vuosi</t>
  </si>
  <si>
    <t>t ka/vuosi</t>
  </si>
  <si>
    <t>Raaka-aineen tuottamiseen tarvittava pinta-ala</t>
  </si>
  <si>
    <t>Pyrolyysilaittesiton tuottama biohiilimäärä</t>
  </si>
  <si>
    <t>Pyrolyysilaitteiston tuottama biohiilimäärä</t>
  </si>
  <si>
    <t>Pyrolyysilaitteiston lämmöntuotantoteho</t>
  </si>
  <si>
    <t>kW</t>
  </si>
  <si>
    <t>Yksikköhinta</t>
  </si>
  <si>
    <t>Yksikköä (kpl)</t>
  </si>
  <si>
    <t>Yhteensä</t>
  </si>
  <si>
    <t>Biohiilen myynti</t>
  </si>
  <si>
    <t>Lämpöenergian myynti</t>
  </si>
  <si>
    <t>Jos 60 % tuotetusta lämpöenergiasta myydään ja loput käytetään pajuhakkeen kuivaukseen</t>
  </si>
  <si>
    <t>Pyrolyysilaitteisto:</t>
  </si>
  <si>
    <t>Määrä kuiva-aineena</t>
  </si>
  <si>
    <t>Määrä 20 % kosteudessa (laitteiston tiedoista)</t>
  </si>
  <si>
    <t>Logistiikkakustannus (hakkeen siirto 20-40 km)</t>
  </si>
  <si>
    <t>Pyrolyysilaitteiston tarvitsema raaka-ainemäärä laitteiston ilmoittamassa kosteudessa</t>
  </si>
  <si>
    <t>Pyrolyysilaitteiston tarvitsema raaka-ainemäärä kuiva-aineena</t>
  </si>
  <si>
    <t>Pyrolyysilaittesiton tarvitsema raaka-ainemäärä kuiva-aineena vuodessa</t>
  </si>
  <si>
    <t>Pelkkä äestys</t>
  </si>
  <si>
    <t>Korjuukustannus RisuPedolla rangoiksi</t>
  </si>
  <si>
    <t xml:space="preserve">Kustannus per korjuukerta. 37 €/k-a tn, korjuu ajosilppurilla, korjuu ja haketus samalla koneella. </t>
  </si>
  <si>
    <t>Haketuksen kustannus</t>
  </si>
  <si>
    <t>Kouvolan vierailulta tieto, että Risupedon työtahti 1000 m2 /  h = 0,1 ha / h --&gt; 1 ha/10 h . Risupedon tuntihinnalla (saatu yrittäjältä) 120 €/h korjuukustannus 1200 €/ha</t>
  </si>
  <si>
    <t>Kouvolan vierailu 27.3.2025</t>
  </si>
  <si>
    <t>Korjuukustannus kokorankana energiapuupuimurilla</t>
  </si>
  <si>
    <t>Vanbeveren ym. (2017)</t>
  </si>
  <si>
    <t>Haketuskustannus</t>
  </si>
  <si>
    <t>Hiilikrediitit</t>
  </si>
  <si>
    <t>Korjauskustannus (korjuu kokorankana)</t>
  </si>
  <si>
    <t>Lämmön myynti</t>
  </si>
  <si>
    <t>Cut-and-bale -koneen kustannusten keskiarvo Vanbeveren ym. Artikkelista (tuoresato), laskettu tuoresato 13,6 t/ha/vuosi (kuiva-ainesadosta 6,8 t ka/ha/vuosi) 4 vuoden sadonkorjuuvälillä</t>
  </si>
  <si>
    <t>Logistiikkakustannus</t>
  </si>
  <si>
    <t>Hakkeen siirto 20-40 km</t>
  </si>
  <si>
    <t>Haketus</t>
  </si>
  <si>
    <t>Luhas ym. (2022)</t>
  </si>
  <si>
    <t>Haketuksen yksikköhinta 9,1 €/t, haketusmäärässä huomioitu, että paju kasakuivaa (25 % kosteus)</t>
  </si>
  <si>
    <t>Kuljetuksen yksikköhinta Awuah ym. 2026 artikkelista 6,9 €/m3, satotasolla 6,8 t k-a/ha/vuosi vuodessa 9 ha:lta kasakuivaa haketta 1274 i-m3</t>
  </si>
  <si>
    <t>Viljelyn kustannukset</t>
  </si>
  <si>
    <t>Biohiililaitoksen kustannukset</t>
  </si>
  <si>
    <t>Biohiililaitteisto + lisäosat</t>
  </si>
  <si>
    <t>Juva (2023)</t>
  </si>
  <si>
    <t>Rakennus</t>
  </si>
  <si>
    <t>Varastot / katokset + muu infra</t>
  </si>
  <si>
    <t>Oma arvio</t>
  </si>
  <si>
    <t>Oman työn kustannukset</t>
  </si>
  <si>
    <t>Mukaillen Vna 214/2014</t>
  </si>
  <si>
    <t>Vna 240/2015:n maatalousyrittäjän oman työn arvon (15 €/h) ja koneella tehdyn työn arvon (30 €/h) perusteella arvioitu keskimääräinen kustannus 25 €/h</t>
  </si>
  <si>
    <t>Energiankulutus (pyrolyysilaitteisto)</t>
  </si>
  <si>
    <t>BioMacon (2021)</t>
  </si>
  <si>
    <t>Laitteiston sähkönkulutuksen ja sähkön hinnan 0,12 €/kWh perusteella</t>
  </si>
  <si>
    <t>Käyttö- ja ylläpitokustannukset</t>
  </si>
  <si>
    <t>3 % investoinnin kokonaiskustannuksista. Huom! Karkea arvio, REACH, ympäristölupa, hiilenpoiston sertifioinnit ym. voivat olla prosentuaalisesti pienen mittakaavan tuotannossa korkeampiakin.</t>
  </si>
  <si>
    <t>Sarake1</t>
  </si>
  <si>
    <t>Biohiilen automaattinen poistojärjestelmä</t>
  </si>
  <si>
    <t>Biohiilen automaattinen säkitysjärjestelmä</t>
  </si>
  <si>
    <t>BioMacon poistojärjestelmä</t>
  </si>
  <si>
    <t>BioMacon säkitysjärjestelmä</t>
  </si>
  <si>
    <t xml:space="preserve">BioMacon 63 kW </t>
  </si>
  <si>
    <t>Laitteiston tarvitsema raaka-ainemäärä kuiva-aineena vuodessa</t>
  </si>
  <si>
    <t>Pajuviljelmän hehtaarisato kuiva-aineena vuodessa</t>
  </si>
  <si>
    <t>BioMacon 63 kW, 8000 h on maksimikapasiteetti</t>
  </si>
  <si>
    <t>BioMacon 63 kW, laitteiston esitteestä</t>
  </si>
  <si>
    <t>Tuottojen laskennassa käytettyjä lähtötietoja</t>
  </si>
  <si>
    <t>Yksi tuotettu biohiilitonni vastaa noin kolmea sidottua hiilidioksiditonnia</t>
  </si>
  <si>
    <t>Awuah, J., Pappinen, A., Laasasenaho, K., Hassan, M. K., Lauhanen, R., &amp; Kuittinen, S. (2026). Evaluating the investment attractiveness and carbon credit potential of short rotation willow plantation on a cutaway peatland. Industrial Crops &amp; Products, 240, 122567. https://doi.org/10.1016/j.indcrop.2025.122567</t>
  </si>
  <si>
    <t>Viherä-Aarnio, A., Jyske, T., Beuker, E., Kaseva, J., &amp; Sarjala, T. (toim.). (2022). Pajut biokiertotaloudessa: Materiaaleja, arvoaineita, ympäristöhyötyjä: Synteesiraportti. Luonnonvara- ja biotalouden tutkimus 11/2022. Luonnonvarakeskus.</t>
  </si>
  <si>
    <t>Luhas, J., Marttila, M., Leppäkoski, L., Mikkilä, M., Uusitalo, V., &amp; Linnanen, L. (2022). A financial and environmental sustainability of circular bioeconomy: A case study of short rotation coppice, biochar and greenhouse production in southern Finland. Biomass and Bioenergy, 163, 106524. https://doi.org/10.1016/j.biombioe.2022.106524</t>
  </si>
  <si>
    <t>Carbons Finland Oy. (2020). Pajujen kasvatusohjeet: Kesä 2020. https://carbons.fi/wp-content/uploads/2020/11/Tuotekortti-Pajun-kasvatus-0720.pdf</t>
  </si>
  <si>
    <t>Vanbeveren, S. P. P., Spinelli, R., Eisenbies, M., Schweier, J., Mola-Yudego, B., Magagnotti, N., Acuna, M., Dimitriou, I., &amp; Ceulemans, R. (2017). Mechanised harvesting of short-rotation coppices. Renewable and Sustainable Energy Reviews, 76, 90–104. https://doi.org/10.1016/j.rser.2017.02.059</t>
  </si>
  <si>
    <t>Nasdaq. (n.d.). Puro.earth: The world's leading carbon removal platform. https://www.nasdaq.com/products/european-markets/carbon-removal-platform</t>
  </si>
  <si>
    <t>BIOMACON GmbH. (2021). Pyrolysis boiler C63-F [Product datasheet]. https://ab8199f1-f56c-4f07-9543-38a7074767a8.filesusr.com/ugd/1fc82b_37000804c88d45789ca2b7f9be2224e2.pdf</t>
  </si>
  <si>
    <t xml:space="preserve">Juva, K. (2023). Maatilamittakaavan biohiilituotannon mahdollisuudet ja kannattavuus. Opinnäytetyö (AMK). https://urn.fi/URN:NBN:fi:amk-202304175408 </t>
  </si>
  <si>
    <t>Mainitut lähdeaineistot:</t>
  </si>
  <si>
    <t>Carbons Finland Oy 2020</t>
  </si>
  <si>
    <t>Pajubiohiilituotanto, kassavirtalaskelman lähtötietoja</t>
  </si>
  <si>
    <t>Kustannukset</t>
  </si>
  <si>
    <t>KASSAVIRTALASKELMA PAJUN VILJELY JA PAJUBIOHIILEN TUOTANTO</t>
  </si>
  <si>
    <t>Pajubiohiilituotannon kassavirta</t>
  </si>
  <si>
    <t>(voi muuttaa oman tuottovaatimuksen/pääoman kustannuksen mukaiseksi)</t>
  </si>
  <si>
    <t>NPV eli nettonykyarvo</t>
  </si>
  <si>
    <t>IRR eli sisäinen korkokanta eli tuottoprosentti</t>
  </si>
  <si>
    <t>KASSAVIRTALASKELMAN TULOKSET</t>
  </si>
  <si>
    <t>HUOM! Laskelmassa 36 ha pajuviljelmä perustetaan vaiheittain siten, että joka vuosi perustetaan 9 ha viljelmä ensimmäisen neljän vuoden aikana. Ensimmäisen neljän viljelyvuoden jälkeen joka vuosi korjataan sato 9 hehtaarilta, jolloin kasvusto on neljävuotias. Biohiilituotanto alkaa samana vuonna kuin on ensimmäinen sadonkorjuu.</t>
  </si>
  <si>
    <t>Kaikki kustannukset yhteensä</t>
  </si>
  <si>
    <t>diskontatut kustannukset yht.</t>
  </si>
  <si>
    <t>OHJE KASSAVIRTALASKELMAN KÄYTTÖÖN</t>
  </si>
  <si>
    <t>Mitä laskelmalla voi tehdä?</t>
  </si>
  <si>
    <t>Kassavirtalaskelma-välilehden avulla voi arvioida suunnitellun pajubiohiilen tuotannon kassavirtaa ja kannattavuutta 24 vuoden tarkastelujaksolla.</t>
  </si>
  <si>
    <t>Laskentapohjassa on valmiina Pajuarvoketjuista uutta liiketoimintaa -hankkeessa laadittu esimerkkilaskelma liiketoimintamallista, jossa toimija viljelee biohiilen raaka-aineena käytettävän pajun sekä tuottaa ja myy biohiiltä. Laskelmassa syntyy tuottoja myös pyrolyysissä muodostuvan lämpöenergian ja hiilikrediittien myynnistä.</t>
  </si>
  <si>
    <t>Laskentapohjaa voi muokata oman suunnitellun liiketoiminnan tarkasteluun.</t>
  </si>
  <si>
    <t>Mistä lähtötiedot löytyvät?</t>
  </si>
  <si>
    <t>Lähtötiedoissa kuvataan muun muassa pajun viljelyn, korjuun ja logistiikan kustannuksia, biohiililaitoksen investointi- ja käyttökustannuksia sekä biohiilen, lämpöenergian ja hiilikrediittien myynnistä saatavia tuottoja.</t>
  </si>
  <si>
    <t>Miten laskelmaa voi muokata?</t>
  </si>
  <si>
    <t>Laskelmaa voi muokata omaan suunniteltuun liiketoimintaan sopivaksi kahdella tavalla:</t>
  </si>
  <si>
    <t>Laskentapohjasta kannattaa tallentaa oma kopio ennen kaavojen tai taulukon rakenteen muuttamista.</t>
  </si>
  <si>
    <t>Kustannusten ja tuottojen ajoittaminen</t>
  </si>
  <si>
    <t>Erityisesti investointien, pajuviljelmän perustamisen, sadonkorjuun sekä biohiilituotannon käynnistymisen ajoittuminen vaikuttaa kassavirran muodostumiseen.</t>
  </si>
  <si>
    <t>Laskelmassa käytettävää diskonttokorkoa voi muuttaa tarkastelussa käytettävän tuottovaatimuksen mukaiseksi.</t>
  </si>
  <si>
    <t>Miten laskelman tuloksia tulkitaan?</t>
  </si>
  <si>
    <t>Huomioitavaa tuloksista</t>
  </si>
  <si>
    <t>Laskentapohja on tarkoitettu alustavien taloudellisten tarkastelujen tekemiseen. Tulokset riippuvat käytetyistä lähtöoletuksista, kuten pajun biomassasadosta, investointi- ja käyttökustannuksista, tuotantomääristä, biohiilen ja lämpöenergian myyntihinnoista, lämmön hyödyntämisasteesta sekä hiilikrediiteistä saatavista tuotoista.</t>
  </si>
  <si>
    <t>Esimerkkilaskelman tulokset eivät sellaisenaan kuvaa yksittäisen yrityksen toteutuvan liiketoiminnan kannattavuutta. Tarkempi arviointi edellyttää tapauskohtaisia tietoja muun muassa käytettävästä tuotantotekniikasta, investoinneista, lämmön hyödyntämismahdollisuuksista sekä tavoitellusta biohiilituotteesta ja sen markkinasta.</t>
  </si>
  <si>
    <r>
      <t xml:space="preserve">Esimerkkilaskelmassa käytettyjä kustannus- ja tuottotietoja sekä niiden lähteitä on koottu välilehdille </t>
    </r>
    <r>
      <rPr>
        <b/>
        <sz val="12"/>
        <color theme="1"/>
        <rFont val="Calibri"/>
        <family val="2"/>
        <scheme val="minor"/>
      </rPr>
      <t>Lähtötiedot_kustannukset</t>
    </r>
    <r>
      <rPr>
        <sz val="12"/>
        <color theme="1"/>
        <rFont val="Calibri"/>
        <family val="2"/>
        <scheme val="minor"/>
      </rPr>
      <t xml:space="preserve"> ja </t>
    </r>
    <r>
      <rPr>
        <b/>
        <sz val="12"/>
        <color theme="1"/>
        <rFont val="Calibri"/>
        <family val="2"/>
        <scheme val="minor"/>
      </rPr>
      <t>Lähtötiedot_tuotot</t>
    </r>
    <r>
      <rPr>
        <sz val="12"/>
        <color theme="1"/>
        <rFont val="Calibri"/>
        <family val="2"/>
        <scheme val="minor"/>
      </rPr>
      <t>. Kassavirtalaskelman kaavat hakevat tietoja näiltä välilehdiltä.</t>
    </r>
  </si>
  <si>
    <r>
      <t>Lähtötietoja muuttamalla:</t>
    </r>
    <r>
      <rPr>
        <sz val="12"/>
        <color theme="1"/>
        <rFont val="Calibri"/>
        <family val="2"/>
        <scheme val="minor"/>
      </rPr>
      <t xml:space="preserve"> Esimerkkilaskelmassa käytettyjä kustannus- ja tuottotietoja voi muuttaa </t>
    </r>
    <r>
      <rPr>
        <i/>
        <sz val="12"/>
        <color theme="1"/>
        <rFont val="Calibri"/>
        <family val="2"/>
        <scheme val="minor"/>
      </rPr>
      <t>Lähtötiedot_kustannukset</t>
    </r>
    <r>
      <rPr>
        <sz val="12"/>
        <color theme="1"/>
        <rFont val="Calibri"/>
        <family val="2"/>
        <scheme val="minor"/>
      </rPr>
      <t xml:space="preserve">- ja </t>
    </r>
    <r>
      <rPr>
        <i/>
        <sz val="12"/>
        <color theme="1"/>
        <rFont val="Calibri"/>
        <family val="2"/>
        <scheme val="minor"/>
      </rPr>
      <t>Lähtötiedot_tuotot</t>
    </r>
    <r>
      <rPr>
        <sz val="12"/>
        <color theme="1"/>
        <rFont val="Calibri"/>
        <family val="2"/>
        <scheme val="minor"/>
      </rPr>
      <t xml:space="preserve"> -välilehdillä. Kassavirtalaskelman kaavat hakevat muuttuneet tiedot näiltä välilehdiltä.</t>
    </r>
  </si>
  <si>
    <r>
      <t>Muokkaamalla kassavirtataulukkoa suoraan:</t>
    </r>
    <r>
      <rPr>
        <sz val="12"/>
        <color theme="1"/>
        <rFont val="Calibri"/>
        <family val="2"/>
        <scheme val="minor"/>
      </rPr>
      <t xml:space="preserve"> Kustannus- ja tuottoeriä voi lisätä, poistaa tai muuttaa suoraan kassavirtalaskelman välilehdellä omaa liiketoimintaa vastaaviksi. Huomaa, että solussa oleva kaava poistuu, jos sen päälle kirjoitetaan uusi arvo.</t>
    </r>
  </si>
  <si>
    <r>
      <t xml:space="preserve">Kustannukset ja tuotot tulee kohdistaa niille toimintavuosille, joina niiden arvioidaan toteutuvan. Laskelman toimintavuodet </t>
    </r>
    <r>
      <rPr>
        <b/>
        <sz val="12"/>
        <color theme="1"/>
        <rFont val="Calibri"/>
        <family val="2"/>
        <scheme val="minor"/>
      </rPr>
      <t>0–23</t>
    </r>
    <r>
      <rPr>
        <sz val="12"/>
        <color theme="1"/>
        <rFont val="Calibri"/>
        <family val="2"/>
        <scheme val="minor"/>
      </rPr>
      <t xml:space="preserve"> kuvaavat 24 vuoden tarkastelujaksoa. Vuosi 0 kuvaa toiminnan ja investointien aloitushetkeä.</t>
    </r>
  </si>
  <si>
    <r>
      <t>Nettonykyarvo (NPV)</t>
    </r>
    <r>
      <rPr>
        <sz val="12"/>
        <color theme="1"/>
        <rFont val="Calibri"/>
        <family val="2"/>
        <scheme val="minor"/>
      </rPr>
      <t xml:space="preserve"> kertoo investoinnin arvon valitulla tuottovaatimuksella, kun tarkastelujakson tulevat kassavirrat muutetaan nykyarvoon. Positiivinen nettonykyarvo tarkoittaa, että laskelma ylittää valitun tuottovaatimuksen. Negatiivinen nettonykyarvo tarkoittaa, että tuottovaatimus ei täyty.</t>
    </r>
  </si>
  <si>
    <r>
      <t>Sisäinen korkokanta (IRR)</t>
    </r>
    <r>
      <rPr>
        <sz val="12"/>
        <color theme="1"/>
        <rFont val="Calibri"/>
        <family val="2"/>
        <scheme val="minor"/>
      </rPr>
      <t xml:space="preserve"> kertoo laskelman kassavirtojen perusteella muodostuvan tuottoprosentin. Sitä voidaan verrata asetettuun tuottovaatimukseen: jos sisäinen korkokanta ylittää tuottovaatimuksen, investointi täyttää tämän kannattavuuskriteerin.</t>
    </r>
  </si>
  <si>
    <r>
      <t>Diskontattu takaisinmaksuaika</t>
    </r>
    <r>
      <rPr>
        <sz val="12"/>
        <color theme="1"/>
        <rFont val="Calibri"/>
        <family val="2"/>
        <scheme val="minor"/>
      </rPr>
      <t xml:space="preserve"> kertoo, kuinka monessa vuodessa kumulatiivinen diskontattu nettokassavirta muuttuu positiiviseksi. Se kuvaa, kuinka pitkän ajan kuluessa investointi maksaa itsensä takaisin, kun myös rahan aika-arvo huomioidaan.</t>
    </r>
  </si>
  <si>
    <t>Osa laskentapohjan soluista on suojattu, jotta NPV:n, IRR:n ja takaisinmaksuajan laskentakaavat eivät muokkaudu vahingossa. Suojauksen voi tarvittaessa poistaa Excelissä. Suojauksen salasana on Pauli.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</si>
</sst>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#,##0.00\ &quot;€&quot;"/>
    <numFmt numFmtId="166" formatCode="#,##0\ &quot;€&quot;"/>
    <numFmt numFmtId="167" formatCode="0.0\ %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theme="4" tint="0.499984740745262"/>
      </top>
      <bottom/>
      <diagonal/>
    </border>
    <border>
      <left/>
      <right style="thin">
        <color indexed="64"/>
      </right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medium">
        <color theme="4" tint="0.3999755851924192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</cellStyleXfs>
  <cellXfs count="12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0" borderId="0" xfId="0" quotePrefix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wrapText="1"/>
    </xf>
    <xf numFmtId="0" fontId="0" fillId="0" borderId="10" xfId="0" applyBorder="1"/>
    <xf numFmtId="0" fontId="0" fillId="0" borderId="9" xfId="0" applyBorder="1"/>
    <xf numFmtId="0" fontId="0" fillId="0" borderId="11" xfId="0" applyBorder="1"/>
    <xf numFmtId="164" fontId="0" fillId="0" borderId="0" xfId="0" applyNumberFormat="1"/>
    <xf numFmtId="0" fontId="0" fillId="4" borderId="9" xfId="0" applyFill="1" applyBorder="1"/>
    <xf numFmtId="164" fontId="0" fillId="0" borderId="3" xfId="0" applyNumberFormat="1" applyBorder="1"/>
    <xf numFmtId="0" fontId="0" fillId="0" borderId="0" xfId="2" applyNumberFormat="1" applyFont="1"/>
    <xf numFmtId="165" fontId="0" fillId="0" borderId="0" xfId="0" applyNumberFormat="1"/>
    <xf numFmtId="165" fontId="1" fillId="3" borderId="0" xfId="0" applyNumberFormat="1" applyFont="1" applyFill="1"/>
    <xf numFmtId="165" fontId="1" fillId="2" borderId="0" xfId="0" applyNumberFormat="1" applyFont="1" applyFill="1"/>
    <xf numFmtId="166" fontId="0" fillId="0" borderId="0" xfId="0" applyNumberFormat="1"/>
    <xf numFmtId="0" fontId="4" fillId="0" borderId="9" xfId="0" applyFont="1" applyBorder="1"/>
    <xf numFmtId="0" fontId="9" fillId="0" borderId="0" xfId="0" applyFont="1"/>
    <xf numFmtId="164" fontId="4" fillId="4" borderId="0" xfId="0" applyNumberFormat="1" applyFont="1" applyFill="1"/>
    <xf numFmtId="164" fontId="0" fillId="0" borderId="0" xfId="1" applyNumberFormat="1" applyFont="1" applyFill="1" applyBorder="1"/>
    <xf numFmtId="0" fontId="10" fillId="0" borderId="4" xfId="3" applyFont="1" applyFill="1"/>
    <xf numFmtId="164" fontId="4" fillId="0" borderId="0" xfId="0" applyNumberFormat="1" applyFont="1"/>
    <xf numFmtId="165" fontId="1" fillId="0" borderId="0" xfId="0" applyNumberFormat="1" applyFont="1"/>
    <xf numFmtId="165" fontId="13" fillId="4" borderId="0" xfId="0" applyNumberFormat="1" applyFont="1" applyFill="1"/>
    <xf numFmtId="164" fontId="5" fillId="0" borderId="0" xfId="0" applyNumberFormat="1" applyFont="1"/>
    <xf numFmtId="0" fontId="4" fillId="0" borderId="0" xfId="0" applyFont="1"/>
    <xf numFmtId="164" fontId="0" fillId="4" borderId="0" xfId="1" applyNumberFormat="1" applyFont="1" applyFill="1" applyBorder="1"/>
    <xf numFmtId="164" fontId="0" fillId="0" borderId="0" xfId="1" applyNumberFormat="1" applyFont="1" applyBorder="1"/>
    <xf numFmtId="164" fontId="0" fillId="4" borderId="9" xfId="1" applyNumberFormat="1" applyFont="1" applyFill="1" applyBorder="1" applyAlignment="1">
      <alignment horizontal="left" vertical="top"/>
    </xf>
    <xf numFmtId="0" fontId="1" fillId="5" borderId="9" xfId="0" applyFont="1" applyFill="1" applyBorder="1"/>
    <xf numFmtId="0" fontId="0" fillId="5" borderId="0" xfId="0" applyFill="1"/>
    <xf numFmtId="2" fontId="3" fillId="5" borderId="0" xfId="0" applyNumberFormat="1" applyFont="1" applyFill="1"/>
    <xf numFmtId="0" fontId="1" fillId="6" borderId="9" xfId="0" applyFont="1" applyFill="1" applyBorder="1"/>
    <xf numFmtId="164" fontId="0" fillId="6" borderId="0" xfId="1" applyNumberFormat="1" applyFont="1" applyFill="1" applyBorder="1"/>
    <xf numFmtId="0" fontId="4" fillId="0" borderId="0" xfId="0" applyFont="1" applyAlignment="1">
      <alignment wrapText="1"/>
    </xf>
    <xf numFmtId="166" fontId="5" fillId="0" borderId="0" xfId="0" applyNumberFormat="1" applyFont="1"/>
    <xf numFmtId="0" fontId="17" fillId="0" borderId="0" xfId="0" applyFont="1"/>
    <xf numFmtId="0" fontId="4" fillId="0" borderId="0" xfId="0" applyFont="1" applyAlignment="1">
      <alignment horizontal="left" vertical="top" wrapText="1"/>
    </xf>
    <xf numFmtId="164" fontId="16" fillId="0" borderId="0" xfId="0" applyNumberFormat="1" applyFont="1"/>
    <xf numFmtId="0" fontId="0" fillId="0" borderId="0" xfId="0" applyAlignment="1">
      <alignment vertical="top"/>
    </xf>
    <xf numFmtId="1" fontId="0" fillId="0" borderId="0" xfId="0" applyNumberFormat="1" applyAlignment="1">
      <alignment vertical="top"/>
    </xf>
    <xf numFmtId="1" fontId="4" fillId="0" borderId="0" xfId="0" applyNumberFormat="1" applyFont="1" applyAlignment="1">
      <alignment vertical="top" wrapText="1"/>
    </xf>
    <xf numFmtId="0" fontId="4" fillId="0" borderId="0" xfId="0" quotePrefix="1" applyFont="1" applyAlignment="1">
      <alignment vertical="top" wrapText="1"/>
    </xf>
    <xf numFmtId="0" fontId="4" fillId="0" borderId="0" xfId="0" applyFont="1" applyAlignment="1">
      <alignment vertical="top"/>
    </xf>
    <xf numFmtId="0" fontId="4" fillId="8" borderId="6" xfId="0" applyFont="1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0" fillId="0" borderId="2" xfId="0" applyBorder="1" applyAlignment="1">
      <alignment vertical="top"/>
    </xf>
    <xf numFmtId="1" fontId="0" fillId="0" borderId="6" xfId="0" applyNumberFormat="1" applyBorder="1" applyAlignment="1">
      <alignment vertical="top"/>
    </xf>
    <xf numFmtId="0" fontId="0" fillId="0" borderId="7" xfId="0" applyBorder="1" applyAlignment="1">
      <alignment vertical="top" wrapText="1"/>
    </xf>
    <xf numFmtId="3" fontId="0" fillId="0" borderId="0" xfId="0" applyNumberFormat="1" applyAlignment="1">
      <alignment vertical="top"/>
    </xf>
    <xf numFmtId="2" fontId="4" fillId="0" borderId="0" xfId="0" applyNumberFormat="1" applyFont="1" applyAlignment="1">
      <alignment vertical="top"/>
    </xf>
    <xf numFmtId="0" fontId="0" fillId="8" borderId="0" xfId="0" applyFill="1"/>
    <xf numFmtId="164" fontId="5" fillId="8" borderId="0" xfId="0" applyNumberFormat="1" applyFont="1" applyFill="1"/>
    <xf numFmtId="0" fontId="5" fillId="8" borderId="0" xfId="0" applyFont="1" applyFill="1"/>
    <xf numFmtId="1" fontId="5" fillId="8" borderId="0" xfId="0" applyNumberFormat="1" applyFont="1" applyFill="1"/>
    <xf numFmtId="164" fontId="0" fillId="8" borderId="0" xfId="0" applyNumberFormat="1" applyFill="1"/>
    <xf numFmtId="166" fontId="5" fillId="8" borderId="0" xfId="0" applyNumberFormat="1" applyFont="1" applyFill="1"/>
    <xf numFmtId="0" fontId="18" fillId="0" borderId="9" xfId="0" applyFont="1" applyBorder="1"/>
    <xf numFmtId="0" fontId="19" fillId="0" borderId="0" xfId="0" applyFont="1"/>
    <xf numFmtId="0" fontId="17" fillId="0" borderId="0" xfId="0" quotePrefix="1" applyFont="1"/>
    <xf numFmtId="1" fontId="17" fillId="0" borderId="0" xfId="0" applyNumberFormat="1" applyFont="1"/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/>
    </xf>
    <xf numFmtId="0" fontId="13" fillId="0" borderId="0" xfId="0" applyFont="1" applyAlignment="1">
      <alignment vertical="top"/>
    </xf>
    <xf numFmtId="0" fontId="5" fillId="0" borderId="9" xfId="0" applyFont="1" applyBorder="1"/>
    <xf numFmtId="0" fontId="17" fillId="0" borderId="0" xfId="0" applyFont="1" applyAlignment="1">
      <alignment wrapText="1"/>
    </xf>
    <xf numFmtId="0" fontId="18" fillId="0" borderId="0" xfId="0" applyFont="1"/>
    <xf numFmtId="0" fontId="1" fillId="6" borderId="0" xfId="0" applyFont="1" applyFill="1"/>
    <xf numFmtId="3" fontId="0" fillId="0" borderId="0" xfId="0" applyNumberFormat="1"/>
    <xf numFmtId="0" fontId="17" fillId="0" borderId="0" xfId="0" applyFont="1" applyAlignment="1">
      <alignment vertical="top"/>
    </xf>
    <xf numFmtId="1" fontId="0" fillId="0" borderId="8" xfId="0" applyNumberFormat="1" applyBorder="1" applyAlignment="1">
      <alignment vertical="top" wrapText="1"/>
    </xf>
    <xf numFmtId="9" fontId="5" fillId="0" borderId="0" xfId="2" applyFont="1" applyBorder="1"/>
    <xf numFmtId="0" fontId="5" fillId="9" borderId="1" xfId="0" applyFont="1" applyFill="1" applyBorder="1"/>
    <xf numFmtId="0" fontId="5" fillId="9" borderId="1" xfId="0" applyFont="1" applyFill="1" applyBorder="1" applyAlignment="1">
      <alignment wrapText="1"/>
    </xf>
    <xf numFmtId="165" fontId="9" fillId="9" borderId="1" xfId="0" applyNumberFormat="1" applyFont="1" applyFill="1" applyBorder="1"/>
    <xf numFmtId="167" fontId="9" fillId="9" borderId="1" xfId="2" applyNumberFormat="1" applyFont="1" applyFill="1" applyBorder="1" applyProtection="1"/>
    <xf numFmtId="0" fontId="9" fillId="9" borderId="1" xfId="0" applyFont="1" applyFill="1" applyBorder="1"/>
    <xf numFmtId="0" fontId="20" fillId="0" borderId="0" xfId="0" applyFont="1"/>
    <xf numFmtId="0" fontId="14" fillId="7" borderId="16" xfId="0" applyFont="1" applyFill="1" applyBorder="1" applyProtection="1">
      <protection locked="0"/>
    </xf>
    <xf numFmtId="0" fontId="0" fillId="0" borderId="0" xfId="0" applyProtection="1">
      <protection locked="0"/>
    </xf>
    <xf numFmtId="0" fontId="9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5" fillId="0" borderId="1" xfId="0" applyFont="1" applyBorder="1" applyProtection="1">
      <protection locked="0"/>
    </xf>
    <xf numFmtId="9" fontId="5" fillId="0" borderId="1" xfId="2" applyFont="1" applyBorder="1" applyProtection="1">
      <protection locked="0"/>
    </xf>
    <xf numFmtId="9" fontId="5" fillId="0" borderId="0" xfId="2" applyFont="1" applyBorder="1" applyProtection="1">
      <protection locked="0"/>
    </xf>
    <xf numFmtId="0" fontId="11" fillId="0" borderId="10" xfId="0" applyFont="1" applyBorder="1" applyProtection="1">
      <protection locked="0"/>
    </xf>
    <xf numFmtId="0" fontId="11" fillId="0" borderId="3" xfId="0" applyFont="1" applyBorder="1" applyProtection="1">
      <protection locked="0"/>
    </xf>
    <xf numFmtId="0" fontId="8" fillId="3" borderId="13" xfId="4" applyFill="1" applyBorder="1" applyProtection="1">
      <protection locked="0"/>
    </xf>
    <xf numFmtId="0" fontId="8" fillId="3" borderId="0" xfId="4" applyFill="1" applyBorder="1" applyProtection="1">
      <protection locked="0"/>
    </xf>
    <xf numFmtId="0" fontId="0" fillId="3" borderId="0" xfId="0" applyFill="1" applyProtection="1">
      <protection locked="0"/>
    </xf>
    <xf numFmtId="0" fontId="1" fillId="0" borderId="9" xfId="0" applyFont="1" applyBorder="1" applyProtection="1">
      <protection locked="0"/>
    </xf>
    <xf numFmtId="0" fontId="0" fillId="0" borderId="9" xfId="0" applyBorder="1" applyProtection="1">
      <protection locked="0"/>
    </xf>
    <xf numFmtId="1" fontId="4" fillId="0" borderId="0" xfId="0" applyNumberFormat="1" applyFont="1" applyProtection="1">
      <protection locked="0"/>
    </xf>
    <xf numFmtId="1" fontId="0" fillId="0" borderId="0" xfId="0" applyNumberFormat="1" applyProtection="1">
      <protection locked="0"/>
    </xf>
    <xf numFmtId="0" fontId="4" fillId="0" borderId="9" xfId="0" applyFont="1" applyBorder="1" applyAlignment="1" applyProtection="1">
      <alignment vertical="top" wrapText="1"/>
      <protection locked="0"/>
    </xf>
    <xf numFmtId="1" fontId="0" fillId="0" borderId="9" xfId="0" applyNumberFormat="1" applyBorder="1" applyProtection="1">
      <protection locked="0"/>
    </xf>
    <xf numFmtId="2" fontId="0" fillId="0" borderId="0" xfId="0" applyNumberFormat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3" fontId="0" fillId="0" borderId="0" xfId="0" applyNumberFormat="1" applyProtection="1">
      <protection locked="0"/>
    </xf>
    <xf numFmtId="3" fontId="0" fillId="0" borderId="9" xfId="0" applyNumberFormat="1" applyBorder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0" fillId="0" borderId="10" xfId="0" applyBorder="1" applyProtection="1">
      <protection locked="0"/>
    </xf>
    <xf numFmtId="0" fontId="0" fillId="0" borderId="3" xfId="0" applyBorder="1" applyProtection="1">
      <protection locked="0"/>
    </xf>
    <xf numFmtId="0" fontId="8" fillId="2" borderId="12" xfId="4" applyFill="1" applyBorder="1" applyProtection="1">
      <protection locked="0"/>
    </xf>
    <xf numFmtId="0" fontId="8" fillId="2" borderId="0" xfId="4" applyFill="1" applyBorder="1" applyProtection="1">
      <protection locked="0"/>
    </xf>
    <xf numFmtId="0" fontId="0" fillId="2" borderId="0" xfId="0" applyFill="1" applyProtection="1">
      <protection locked="0"/>
    </xf>
    <xf numFmtId="0" fontId="4" fillId="0" borderId="9" xfId="0" applyFont="1" applyBorder="1" applyProtection="1">
      <protection locked="0"/>
    </xf>
    <xf numFmtId="164" fontId="0" fillId="0" borderId="0" xfId="1" applyNumberFormat="1" applyFont="1" applyFill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164" fontId="0" fillId="0" borderId="15" xfId="1" applyNumberFormat="1" applyFont="1" applyFill="1" applyBorder="1" applyProtection="1">
      <protection locked="0"/>
    </xf>
    <xf numFmtId="164" fontId="0" fillId="0" borderId="0" xfId="1" applyNumberFormat="1" applyFont="1" applyFill="1" applyBorder="1" applyProtection="1">
      <protection locked="0"/>
    </xf>
    <xf numFmtId="0" fontId="21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9" fillId="10" borderId="0" xfId="0" applyFont="1" applyFill="1" applyAlignment="1">
      <alignment vertical="top" wrapText="1"/>
    </xf>
    <xf numFmtId="0" fontId="11" fillId="0" borderId="0" xfId="0" applyFont="1" applyAlignment="1">
      <alignment horizontal="left" vertical="top" indent="1"/>
    </xf>
    <xf numFmtId="0" fontId="11" fillId="0" borderId="0" xfId="0" applyFont="1" applyAlignment="1">
      <alignment horizontal="left" vertical="top" wrapText="1" indent="1"/>
    </xf>
  </cellXfs>
  <cellStyles count="5">
    <cellStyle name="Normaali" xfId="0" builtinId="0"/>
    <cellStyle name="Otsikko 2" xfId="3" builtinId="17"/>
    <cellStyle name="Otsikko 3" xfId="4" builtinId="18"/>
    <cellStyle name="Pilkku" xfId="1" builtinId="3"/>
    <cellStyle name="Prosenttia" xfId="2" builtinId="5"/>
  </cellStyles>
  <dxfs count="23"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3" formatCode="#,##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numFmt numFmtId="1" formatCode="0"/>
    </dxf>
    <dxf>
      <alignment vertical="top" textRotation="0" indent="0" justifyLastLine="0" shrinkToFit="0" readingOrder="0"/>
    </dxf>
    <dxf>
      <alignment horizontal="right" vertical="bottom" textRotation="0" wrapText="0" indent="1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</dxfs>
  <tableStyles count="0" defaultTableStyle="TableStyleMedium9" defaultPivotStyle="PivotStyleLight16"/>
  <colors>
    <mruColors>
      <color rgb="FF48B3D4"/>
      <color rgb="FF79D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4.xml"/><Relationship Id="rId10" Type="http://schemas.openxmlformats.org/officeDocument/2006/relationships/calcChain" Target="calcChain.xml"/><Relationship Id="rId4" Type="http://schemas.openxmlformats.org/officeDocument/2006/relationships/worksheet" Target="worksheets/sheet3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2400"/>
              <a:t>Pajubiohiilituotanto</a:t>
            </a:r>
            <a:r>
              <a:rPr lang="fi-FI" sz="2400" baseline="0"/>
              <a:t> - k</a:t>
            </a:r>
            <a:r>
              <a:rPr lang="fi-FI" sz="2400"/>
              <a:t>umulatiivinen diskontattu kassavirta</a:t>
            </a:r>
            <a:r>
              <a:rPr lang="fi-FI" sz="2400" baseline="0"/>
              <a:t> </a:t>
            </a:r>
            <a:endParaRPr lang="fi-FI" sz="2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Biohiili_kassavirta!$B$16:$Y$16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Biohiili_kassavirta!$B$64:$Y$64</c:f>
              <c:numCache>
                <c:formatCode>_-* #\ ##0_-;\-* #\ ##0_-;_-* "-"??_-;_-@_-</c:formatCode>
                <c:ptCount val="24"/>
                <c:pt idx="0">
                  <c:v>-30406.11</c:v>
                </c:pt>
                <c:pt idx="1">
                  <c:v>-68264.064716981127</c:v>
                </c:pt>
                <c:pt idx="2">
                  <c:v>-106193.13723655499</c:v>
                </c:pt>
                <c:pt idx="3">
                  <c:v>-385025.01496278774</c:v>
                </c:pt>
                <c:pt idx="4">
                  <c:v>-357200.42288356606</c:v>
                </c:pt>
                <c:pt idx="5">
                  <c:v>-324997.68703245983</c:v>
                </c:pt>
                <c:pt idx="6">
                  <c:v>-294328.41479331104</c:v>
                </c:pt>
                <c:pt idx="7">
                  <c:v>-265119.58408935979</c:v>
                </c:pt>
                <c:pt idx="8">
                  <c:v>-237301.65008559669</c:v>
                </c:pt>
                <c:pt idx="9">
                  <c:v>-210808.37960582232</c:v>
                </c:pt>
                <c:pt idx="10">
                  <c:v>-185576.69343460863</c:v>
                </c:pt>
                <c:pt idx="11">
                  <c:v>-161546.51612869083</c:v>
                </c:pt>
                <c:pt idx="12">
                  <c:v>-138660.63298019767</c:v>
                </c:pt>
                <c:pt idx="13">
                  <c:v>-116864.55379115659</c:v>
                </c:pt>
                <c:pt idx="14">
                  <c:v>-96106.383134926989</c:v>
                </c:pt>
                <c:pt idx="15">
                  <c:v>-76336.696795660697</c:v>
                </c:pt>
                <c:pt idx="16">
                  <c:v>-57508.424091597568</c:v>
                </c:pt>
                <c:pt idx="17">
                  <c:v>-39576.735802013631</c:v>
                </c:pt>
                <c:pt idx="18">
                  <c:v>-22498.937430981314</c:v>
                </c:pt>
                <c:pt idx="19">
                  <c:v>-6234.3675538076768</c:v>
                </c:pt>
                <c:pt idx="20">
                  <c:v>5307.4047733039479</c:v>
                </c:pt>
                <c:pt idx="21">
                  <c:v>17041.125872592616</c:v>
                </c:pt>
                <c:pt idx="22">
                  <c:v>28922.343089277041</c:v>
                </c:pt>
                <c:pt idx="23">
                  <c:v>43145.381539650603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1B-494C-B141-B70DB7023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9450912"/>
        <c:axId val="103983632"/>
      </c:scatterChart>
      <c:valAx>
        <c:axId val="1529450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 sz="1800"/>
                  <a:t>Vuodet</a:t>
                </a:r>
              </a:p>
            </c:rich>
          </c:tx>
          <c:layout>
            <c:manualLayout>
              <c:xMode val="edge"/>
              <c:yMode val="edge"/>
              <c:x val="0.43557721976964853"/>
              <c:y val="0.948325102249613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03983632"/>
        <c:crosses val="autoZero"/>
        <c:crossBetween val="midCat"/>
      </c:valAx>
      <c:valAx>
        <c:axId val="10398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 sz="1600"/>
                  <a:t>€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529450912"/>
        <c:crosses val="autoZero"/>
        <c:crossBetween val="midCat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5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F0A8C93-7476-4B68-A452-48665710465D}">
  <sheetPr/>
  <sheetViews>
    <sheetView zoomScale="11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571500</xdr:colOff>
      <xdr:row>98</xdr:row>
      <xdr:rowOff>119063</xdr:rowOff>
    </xdr:from>
    <xdr:to>
      <xdr:col>55</xdr:col>
      <xdr:colOff>369948</xdr:colOff>
      <xdr:row>120</xdr:row>
      <xdr:rowOff>31640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84F099AE-B2BF-4673-A6E3-F497B31C8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94500" y="17181513"/>
          <a:ext cx="11888847" cy="38813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3947913" cy="9110870"/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2F93B73A-0BFF-EB82-DB90-3F6134E192A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EB46C4-AEAE-4326-975A-7E497E703CD1}" name="Taulukko2" displayName="Taulukko2" ref="A3:E34" totalsRowShown="0" dataDxfId="22">
  <autoFilter ref="A3:E34" xr:uid="{B6EB46C4-AEAE-4326-975A-7E497E703CD1}"/>
  <tableColumns count="5">
    <tableColumn id="1" xr3:uid="{473FBCE5-A460-4B0D-A834-753DDB85BA6D}" name="Viljelyn kustannukset" dataDxfId="21" totalsRowDxfId="20"/>
    <tableColumn id="2" xr3:uid="{7E9045F0-405A-4B57-88B8-EC048331EF1B}" name="€/ha" dataDxfId="19" totalsRowDxfId="18"/>
    <tableColumn id="5" xr3:uid="{F62040EF-DB8D-4A9B-BA5F-59E6668E4D74}" name="Lähde" dataDxfId="17"/>
    <tableColumn id="3" xr3:uid="{7D9A243D-7265-456B-B3EA-187F036082D1}" name="Lisätietoa" dataDxfId="16"/>
    <tableColumn id="6" xr3:uid="{B1DDF7A1-747A-45B9-B703-8FEA08BA4663}" name="Vaihtoehtoisia kustannustietoja" dataDxfId="15"/>
  </tableColumns>
  <tableStyleInfo name="TableStyleMedium17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BC9B1D-6035-4835-8691-8BC216671574}" name="Taulukko1" displayName="Taulukko1" ref="A36:E44" totalsRowShown="0">
  <autoFilter ref="A36:E44" xr:uid="{65BC9B1D-6035-4835-8691-8BC216671574}"/>
  <tableColumns count="5">
    <tableColumn id="1" xr3:uid="{61083BAD-DC52-45DC-A318-03C3F54B7EED}" name="Biohiililaitoksen kustannukset"/>
    <tableColumn id="2" xr3:uid="{80080F98-7AE8-4995-AC3B-C139E05C2B55}" name="€/vuosi" dataDxfId="14"/>
    <tableColumn id="3" xr3:uid="{A1C630EF-FAFD-46B5-9636-9D08AF3D99C7}" name="Lähde"/>
    <tableColumn id="4" xr3:uid="{98BBF987-F0B1-4687-B570-A9863116F426}" name="Lisätietoa"/>
    <tableColumn id="5" xr3:uid="{AF94F10C-55CA-4377-909E-91E49C54672D}" name="Sarake1"/>
  </tableColumns>
  <tableStyleInfo name="TableStyleMedium17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796047-46F1-436E-B884-9DEF490443E5}" name="Taulukko5" displayName="Taulukko5" ref="A11:D20" totalsRowShown="0" headerRowDxfId="13" dataDxfId="12">
  <autoFilter ref="A11:D20" xr:uid="{6F796047-46F1-436E-B884-9DEF490443E5}"/>
  <tableColumns count="4">
    <tableColumn id="1" xr3:uid="{B99D52F4-D26C-4D42-8E2A-463AC2C3442B}" name="Tuottojen laskennassa käytettyjä lähtötietoja" dataDxfId="11"/>
    <tableColumn id="2" xr3:uid="{4196F53F-2244-4389-8EB5-DAFB7B638E73}" name="Arvo" dataDxfId="10"/>
    <tableColumn id="3" xr3:uid="{F3558EFA-D5D6-427D-97C8-4A1EC4A0E057}" name="Yksikkö" dataDxfId="9"/>
    <tableColumn id="4" xr3:uid="{EF283ABF-7DBC-44D8-ABC7-334F77325ED1}" name="Lisätiedot" dataDxfId="8"/>
  </tableColumns>
  <tableStyleInfo name="TableStyleMedium25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A0C904F-667D-45D9-84AE-C3FA5B37D539}" name="Taulukko6" displayName="Taulukko6" ref="A5:F8" totalsRowShown="0" headerRowDxfId="7" dataDxfId="6">
  <autoFilter ref="A5:F8" xr:uid="{5A0C904F-667D-45D9-84AE-C3FA5B37D539}"/>
  <tableColumns count="6">
    <tableColumn id="1" xr3:uid="{896C8A41-25E3-45C7-87BB-B879971D5A02}" name="Tuotot" dataDxfId="5"/>
    <tableColumn id="2" xr3:uid="{7EB83F09-6DD3-4A0C-AB4F-E4A9841B7440}" name="Yksikköhinta" dataDxfId="4"/>
    <tableColumn id="3" xr3:uid="{28C62D44-6430-47BC-8098-9F4C7AA088C9}" name="Yksikköä (kpl)" dataDxfId="3"/>
    <tableColumn id="4" xr3:uid="{80A52DF4-C235-434D-BF6B-75B9BE4F9408}" name="Yhteensä" dataDxfId="2"/>
    <tableColumn id="5" xr3:uid="{49DA180D-9E4E-4660-913B-683E5265CABC}" name="Yksikkö" dataDxfId="1"/>
    <tableColumn id="6" xr3:uid="{DF449B0F-B227-4B46-ABC3-3FE388B856A0}" name="Lisätiedot" dataDxfId="0"/>
  </tableColumns>
  <tableStyleInfo name="TableStyleMedium1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A1EE-BB59-4F7D-8834-A71DE40755AD}">
  <dimension ref="A1:A31"/>
  <sheetViews>
    <sheetView workbookViewId="0">
      <selection activeCell="A17" sqref="A17"/>
    </sheetView>
  </sheetViews>
  <sheetFormatPr defaultRowHeight="14.5" x14ac:dyDescent="0.35"/>
  <cols>
    <col min="1" max="1" width="218.81640625" customWidth="1"/>
  </cols>
  <sheetData>
    <row r="1" spans="1:1" ht="17.5" x14ac:dyDescent="0.35">
      <c r="A1" s="123" t="s">
        <v>180</v>
      </c>
    </row>
    <row r="2" spans="1:1" x14ac:dyDescent="0.35">
      <c r="A2" s="6"/>
    </row>
    <row r="3" spans="1:1" ht="18.5" x14ac:dyDescent="0.35">
      <c r="A3" s="126" t="s">
        <v>181</v>
      </c>
    </row>
    <row r="4" spans="1:1" ht="15.5" x14ac:dyDescent="0.35">
      <c r="A4" s="124" t="s">
        <v>182</v>
      </c>
    </row>
    <row r="5" spans="1:1" ht="31" x14ac:dyDescent="0.35">
      <c r="A5" s="124" t="s">
        <v>183</v>
      </c>
    </row>
    <row r="6" spans="1:1" ht="15.5" x14ac:dyDescent="0.35">
      <c r="A6" s="124" t="s">
        <v>184</v>
      </c>
    </row>
    <row r="7" spans="1:1" x14ac:dyDescent="0.35">
      <c r="A7" s="6"/>
    </row>
    <row r="8" spans="1:1" ht="18.5" x14ac:dyDescent="0.35">
      <c r="A8" s="126" t="s">
        <v>185</v>
      </c>
    </row>
    <row r="9" spans="1:1" ht="15.5" x14ac:dyDescent="0.35">
      <c r="A9" s="124" t="s">
        <v>197</v>
      </c>
    </row>
    <row r="10" spans="1:1" ht="15.5" x14ac:dyDescent="0.35">
      <c r="A10" s="124" t="s">
        <v>186</v>
      </c>
    </row>
    <row r="11" spans="1:1" x14ac:dyDescent="0.35">
      <c r="A11" s="6"/>
    </row>
    <row r="12" spans="1:1" ht="18.5" x14ac:dyDescent="0.35">
      <c r="A12" s="126" t="s">
        <v>187</v>
      </c>
    </row>
    <row r="13" spans="1:1" ht="15.5" x14ac:dyDescent="0.35">
      <c r="A13" s="124" t="s">
        <v>188</v>
      </c>
    </row>
    <row r="14" spans="1:1" ht="15.5" x14ac:dyDescent="0.35">
      <c r="A14" s="127" t="s">
        <v>198</v>
      </c>
    </row>
    <row r="15" spans="1:1" ht="31" x14ac:dyDescent="0.35">
      <c r="A15" s="128" t="s">
        <v>199</v>
      </c>
    </row>
    <row r="16" spans="1:1" x14ac:dyDescent="0.35">
      <c r="A16" t="s">
        <v>204</v>
      </c>
    </row>
    <row r="17" spans="1:1" ht="15.5" x14ac:dyDescent="0.35">
      <c r="A17" s="124" t="s">
        <v>189</v>
      </c>
    </row>
    <row r="18" spans="1:1" x14ac:dyDescent="0.35">
      <c r="A18" s="6"/>
    </row>
    <row r="19" spans="1:1" ht="18.5" x14ac:dyDescent="0.35">
      <c r="A19" s="126" t="s">
        <v>190</v>
      </c>
    </row>
    <row r="20" spans="1:1" ht="15.5" x14ac:dyDescent="0.35">
      <c r="A20" s="124" t="s">
        <v>200</v>
      </c>
    </row>
    <row r="21" spans="1:1" ht="15.5" x14ac:dyDescent="0.35">
      <c r="A21" s="124" t="s">
        <v>191</v>
      </c>
    </row>
    <row r="22" spans="1:1" ht="15.5" x14ac:dyDescent="0.35">
      <c r="A22" s="124" t="s">
        <v>192</v>
      </c>
    </row>
    <row r="23" spans="1:1" x14ac:dyDescent="0.35">
      <c r="A23" s="6"/>
    </row>
    <row r="24" spans="1:1" ht="18.5" x14ac:dyDescent="0.35">
      <c r="A24" s="126" t="s">
        <v>193</v>
      </c>
    </row>
    <row r="25" spans="1:1" ht="31" x14ac:dyDescent="0.35">
      <c r="A25" s="125" t="s">
        <v>201</v>
      </c>
    </row>
    <row r="26" spans="1:1" ht="31" x14ac:dyDescent="0.35">
      <c r="A26" s="125" t="s">
        <v>202</v>
      </c>
    </row>
    <row r="27" spans="1:1" ht="31" x14ac:dyDescent="0.35">
      <c r="A27" s="125" t="s">
        <v>203</v>
      </c>
    </row>
    <row r="28" spans="1:1" x14ac:dyDescent="0.35">
      <c r="A28" s="6"/>
    </row>
    <row r="29" spans="1:1" ht="18.5" x14ac:dyDescent="0.35">
      <c r="A29" s="126" t="s">
        <v>194</v>
      </c>
    </row>
    <row r="30" spans="1:1" ht="31" x14ac:dyDescent="0.35">
      <c r="A30" s="124" t="s">
        <v>195</v>
      </c>
    </row>
    <row r="31" spans="1:1" ht="31" x14ac:dyDescent="0.35">
      <c r="A31" s="124" t="s">
        <v>196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BC99D-79D3-48B8-8B23-4E9B453D7B8E}">
  <dimension ref="A1:AB156"/>
  <sheetViews>
    <sheetView tabSelected="1" topLeftCell="A11" zoomScale="85" zoomScaleNormal="85" workbookViewId="0">
      <selection activeCell="Z56" sqref="Z56"/>
    </sheetView>
  </sheetViews>
  <sheetFormatPr defaultRowHeight="14.5" x14ac:dyDescent="0.35"/>
  <cols>
    <col min="1" max="1" width="51.1796875" customWidth="1"/>
    <col min="2" max="2" width="15.54296875" customWidth="1"/>
    <col min="3" max="5" width="12" customWidth="1"/>
    <col min="6" max="6" width="13.1796875" customWidth="1"/>
    <col min="7" max="8" width="12.54296875" customWidth="1"/>
    <col min="9" max="9" width="14.1796875" customWidth="1"/>
    <col min="10" max="10" width="16.54296875" customWidth="1"/>
    <col min="11" max="11" width="11.54296875" bestFit="1" customWidth="1"/>
    <col min="12" max="12" width="15.54296875" customWidth="1"/>
    <col min="13" max="13" width="13.54296875" customWidth="1"/>
    <col min="14" max="14" width="13.1796875" customWidth="1"/>
    <col min="15" max="15" width="11.54296875" bestFit="1" customWidth="1"/>
    <col min="16" max="16" width="13.1796875" customWidth="1"/>
    <col min="17" max="17" width="13" customWidth="1"/>
    <col min="18" max="18" width="11.54296875" customWidth="1"/>
    <col min="19" max="19" width="12.90625" customWidth="1"/>
    <col min="20" max="20" width="11.81640625" customWidth="1"/>
    <col min="21" max="21" width="11.54296875" bestFit="1" customWidth="1"/>
    <col min="22" max="24" width="11.54296875" customWidth="1"/>
    <col min="25" max="25" width="11.54296875" bestFit="1" customWidth="1"/>
    <col min="26" max="26" width="31.90625" bestFit="1" customWidth="1"/>
    <col min="27" max="27" width="15.453125" customWidth="1"/>
    <col min="28" max="28" width="8.81640625" customWidth="1"/>
    <col min="29" max="31" width="9" bestFit="1" customWidth="1"/>
    <col min="32" max="39" width="10" bestFit="1" customWidth="1"/>
    <col min="40" max="40" width="10.54296875" bestFit="1" customWidth="1"/>
    <col min="42" max="42" width="10.54296875" bestFit="1" customWidth="1"/>
  </cols>
  <sheetData>
    <row r="1" spans="1:25" ht="23.5" x14ac:dyDescent="0.55000000000000004">
      <c r="A1" s="83" t="s">
        <v>171</v>
      </c>
      <c r="B1" s="83"/>
      <c r="C1" s="83"/>
      <c r="D1" s="83"/>
      <c r="E1" s="83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5"/>
      <c r="T1" s="84"/>
      <c r="U1" s="84"/>
      <c r="V1" s="84"/>
      <c r="W1" s="84"/>
      <c r="X1" s="84"/>
      <c r="Y1" s="84"/>
    </row>
    <row r="2" spans="1:25" ht="23.5" x14ac:dyDescent="0.55000000000000004">
      <c r="A2" s="86"/>
      <c r="B2" s="86"/>
      <c r="C2" s="86"/>
      <c r="D2" s="86"/>
      <c r="E2" s="86"/>
      <c r="F2" s="87"/>
      <c r="G2" s="87"/>
      <c r="H2" s="87"/>
      <c r="I2" s="87"/>
      <c r="J2" s="84"/>
      <c r="K2" s="84"/>
      <c r="L2" s="84"/>
      <c r="M2" s="84"/>
      <c r="N2" s="84"/>
      <c r="O2" s="84"/>
      <c r="P2" s="84"/>
      <c r="Q2" s="84"/>
      <c r="R2" s="84"/>
      <c r="S2" s="84"/>
      <c r="T2" s="88"/>
      <c r="U2" s="84"/>
      <c r="V2" s="84"/>
      <c r="W2" s="84"/>
      <c r="X2" s="84"/>
      <c r="Y2" s="84"/>
    </row>
    <row r="3" spans="1:25" ht="18.5" x14ac:dyDescent="0.45">
      <c r="A3" s="85" t="s">
        <v>35</v>
      </c>
      <c r="B3" s="85"/>
      <c r="C3" s="85"/>
      <c r="D3" s="85"/>
      <c r="E3" s="85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</row>
    <row r="4" spans="1:25" ht="18.5" x14ac:dyDescent="0.45">
      <c r="A4" s="89" t="s">
        <v>86</v>
      </c>
      <c r="B4" s="89"/>
      <c r="C4" s="89"/>
      <c r="D4" s="89"/>
      <c r="E4" s="89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</row>
    <row r="5" spans="1:25" ht="18.5" x14ac:dyDescent="0.45">
      <c r="A5" s="90" t="s">
        <v>177</v>
      </c>
      <c r="B5" s="89"/>
      <c r="C5" s="89"/>
      <c r="D5" s="89"/>
      <c r="E5" s="89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</row>
    <row r="6" spans="1:25" x14ac:dyDescent="0.35">
      <c r="A6" s="91"/>
      <c r="B6" s="91"/>
      <c r="C6" s="91"/>
      <c r="D6" s="91"/>
      <c r="E6" s="91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</row>
    <row r="7" spans="1:25" ht="18.5" x14ac:dyDescent="0.45">
      <c r="A7" s="92" t="s">
        <v>67</v>
      </c>
      <c r="B7" s="93">
        <v>0.05</v>
      </c>
      <c r="C7" s="84" t="s">
        <v>173</v>
      </c>
      <c r="D7" s="89"/>
      <c r="E7" s="89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5"/>
      <c r="T7" s="84"/>
      <c r="U7" s="84"/>
      <c r="V7" s="84"/>
      <c r="W7" s="84"/>
      <c r="X7" s="84"/>
      <c r="Y7" s="84"/>
    </row>
    <row r="8" spans="1:25" ht="18.5" x14ac:dyDescent="0.45">
      <c r="A8" s="89"/>
      <c r="B8" s="94"/>
      <c r="C8" s="84"/>
      <c r="D8" s="89"/>
      <c r="E8" s="89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5"/>
      <c r="T8" s="84"/>
      <c r="U8" s="84"/>
      <c r="V8" s="84"/>
      <c r="W8" s="84"/>
      <c r="X8" s="84"/>
      <c r="Y8" s="84"/>
    </row>
    <row r="9" spans="1:25" ht="34" customHeight="1" x14ac:dyDescent="0.5">
      <c r="A9" s="82" t="s">
        <v>176</v>
      </c>
      <c r="B9" s="76"/>
      <c r="D9" s="4"/>
      <c r="E9" s="4"/>
      <c r="S9" s="21"/>
    </row>
    <row r="10" spans="1:25" ht="18.5" x14ac:dyDescent="0.45">
      <c r="A10" s="77" t="s">
        <v>174</v>
      </c>
      <c r="B10" s="79">
        <f>B56+NPV(B7,C56:Y56)</f>
        <v>43145.381539650465</v>
      </c>
      <c r="C10" s="77"/>
      <c r="D10" s="4"/>
      <c r="E10" s="4"/>
      <c r="S10" s="21"/>
    </row>
    <row r="11" spans="1:25" ht="18.5" x14ac:dyDescent="0.45">
      <c r="A11" s="77" t="s">
        <v>175</v>
      </c>
      <c r="B11" s="80">
        <f>IRR(B56:Y56)</f>
        <v>6.2180833244851463E-2</v>
      </c>
      <c r="C11" s="77"/>
      <c r="D11" s="4"/>
      <c r="E11" s="4"/>
      <c r="S11" s="21"/>
    </row>
    <row r="12" spans="1:25" ht="18.5" x14ac:dyDescent="0.45">
      <c r="A12" s="78" t="s">
        <v>60</v>
      </c>
      <c r="B12" s="81" cm="1">
        <f t="array" ref="B12">MATCH(TRUE,B64:Y64&gt;0,0)-1</f>
        <v>20</v>
      </c>
      <c r="C12" s="77" t="s">
        <v>36</v>
      </c>
    </row>
    <row r="14" spans="1:25" ht="24.75" customHeight="1" thickBot="1" x14ac:dyDescent="0.5">
      <c r="A14" s="24" t="s">
        <v>172</v>
      </c>
      <c r="B14" s="24"/>
      <c r="C14" s="24"/>
      <c r="D14" s="24"/>
      <c r="E14" s="24"/>
    </row>
    <row r="15" spans="1:25" ht="15" thickTop="1" x14ac:dyDescent="0.35">
      <c r="A15" s="11"/>
      <c r="B15" t="s">
        <v>37</v>
      </c>
    </row>
    <row r="16" spans="1:25" ht="15.5" x14ac:dyDescent="0.35">
      <c r="A16" s="95" t="s">
        <v>75</v>
      </c>
      <c r="B16" s="96">
        <v>0</v>
      </c>
      <c r="C16" s="96">
        <v>1</v>
      </c>
      <c r="D16" s="96">
        <v>2</v>
      </c>
      <c r="E16" s="96">
        <v>3</v>
      </c>
      <c r="F16" s="96">
        <v>4</v>
      </c>
      <c r="G16" s="96">
        <v>5</v>
      </c>
      <c r="H16" s="96">
        <v>6</v>
      </c>
      <c r="I16" s="96">
        <v>7</v>
      </c>
      <c r="J16" s="96">
        <v>8</v>
      </c>
      <c r="K16" s="96">
        <v>9</v>
      </c>
      <c r="L16" s="96">
        <v>10</v>
      </c>
      <c r="M16" s="96">
        <v>11</v>
      </c>
      <c r="N16" s="96">
        <v>12</v>
      </c>
      <c r="O16" s="96">
        <v>13</v>
      </c>
      <c r="P16" s="96">
        <v>14</v>
      </c>
      <c r="Q16" s="96">
        <v>15</v>
      </c>
      <c r="R16" s="96">
        <v>16</v>
      </c>
      <c r="S16" s="96">
        <v>17</v>
      </c>
      <c r="T16" s="96">
        <v>18</v>
      </c>
      <c r="U16" s="96">
        <v>19</v>
      </c>
      <c r="V16" s="96">
        <v>20</v>
      </c>
      <c r="W16" s="96">
        <v>21</v>
      </c>
      <c r="X16" s="96">
        <v>22</v>
      </c>
      <c r="Y16" s="96">
        <v>23</v>
      </c>
    </row>
    <row r="17" spans="1:25" ht="15" thickBot="1" x14ac:dyDescent="0.4">
      <c r="A17" s="97" t="s">
        <v>170</v>
      </c>
      <c r="B17" s="98"/>
      <c r="C17" s="98"/>
      <c r="D17" s="98"/>
      <c r="E17" s="98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</row>
    <row r="18" spans="1:25" x14ac:dyDescent="0.35">
      <c r="A18" s="100" t="s">
        <v>38</v>
      </c>
      <c r="B18" s="91"/>
      <c r="C18" s="91"/>
      <c r="D18" s="91"/>
      <c r="E18" s="91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101"/>
    </row>
    <row r="19" spans="1:25" x14ac:dyDescent="0.35">
      <c r="A19" s="101" t="s">
        <v>39</v>
      </c>
      <c r="B19" s="102">
        <f>Lähtötiedot_kustannukset!$B$5*9</f>
        <v>6771.5999999999995</v>
      </c>
      <c r="C19" s="102">
        <f>Lähtötiedot_kustannukset!$B$5*9</f>
        <v>6771.5999999999995</v>
      </c>
      <c r="D19" s="102">
        <f>Lähtötiedot_kustannukset!$B$5*9</f>
        <v>6771.5999999999995</v>
      </c>
      <c r="E19" s="102">
        <f>Lähtötiedot_kustannukset!$B$5*9</f>
        <v>6771.5999999999995</v>
      </c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101"/>
    </row>
    <row r="20" spans="1:25" x14ac:dyDescent="0.35">
      <c r="A20" s="101" t="s">
        <v>8</v>
      </c>
      <c r="B20" s="84">
        <f>Lähtötiedot_kustannukset!$B$6*9</f>
        <v>396</v>
      </c>
      <c r="C20" s="84">
        <f>Lähtötiedot_kustannukset!$B$6*9</f>
        <v>396</v>
      </c>
      <c r="D20" s="84">
        <f>Lähtötiedot_kustannukset!$B$6*9</f>
        <v>396</v>
      </c>
      <c r="E20" s="84">
        <f>Lähtötiedot_kustannukset!$B$6*9</f>
        <v>396</v>
      </c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101"/>
    </row>
    <row r="21" spans="1:25" x14ac:dyDescent="0.35">
      <c r="A21" s="101" t="s">
        <v>10</v>
      </c>
      <c r="B21" s="103">
        <f>Lähtötiedot_kustannukset!$B$7*9</f>
        <v>1357.56</v>
      </c>
      <c r="C21" s="103">
        <f>Lähtötiedot_kustannukset!$B$7*9</f>
        <v>1357.56</v>
      </c>
      <c r="D21" s="103">
        <f>Lähtötiedot_kustannukset!$B$7*9</f>
        <v>1357.56</v>
      </c>
      <c r="E21" s="103">
        <f>Lähtötiedot_kustannukset!$B$7*9</f>
        <v>1357.56</v>
      </c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101"/>
    </row>
    <row r="22" spans="1:25" x14ac:dyDescent="0.35">
      <c r="A22" s="104" t="s">
        <v>40</v>
      </c>
      <c r="B22" s="103">
        <f>Lähtötiedot_kustannukset!$B$8*9</f>
        <v>1950.0000000000002</v>
      </c>
      <c r="C22" s="103">
        <f>Lähtötiedot_kustannukset!$B$8*9</f>
        <v>1950.0000000000002</v>
      </c>
      <c r="D22" s="103">
        <f>Lähtötiedot_kustannukset!$B$8*9</f>
        <v>1950.0000000000002</v>
      </c>
      <c r="E22" s="103">
        <f>Lähtötiedot_kustannukset!$B$8*9</f>
        <v>1950.0000000000002</v>
      </c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101"/>
    </row>
    <row r="23" spans="1:25" x14ac:dyDescent="0.35">
      <c r="A23" s="101" t="s">
        <v>16</v>
      </c>
      <c r="B23" s="84"/>
      <c r="C23" s="103">
        <f>Lähtötiedot_kustannukset!$B$22*9</f>
        <v>6864.7924528301892</v>
      </c>
      <c r="D23" s="103">
        <f>Lähtötiedot_kustannukset!$B$22*9</f>
        <v>6864.7924528301892</v>
      </c>
      <c r="E23" s="103">
        <f>Lähtötiedot_kustannukset!$B$22*9</f>
        <v>6864.7924528301892</v>
      </c>
      <c r="F23" s="103">
        <f>Lähtötiedot_kustannukset!$B$22*9</f>
        <v>6864.7924528301892</v>
      </c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101"/>
    </row>
    <row r="24" spans="1:25" x14ac:dyDescent="0.35">
      <c r="A24" s="100" t="s">
        <v>41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101"/>
    </row>
    <row r="25" spans="1:25" x14ac:dyDescent="0.35">
      <c r="A25" s="101" t="s">
        <v>23</v>
      </c>
      <c r="B25" s="84">
        <f>Lähtötiedot_kustannukset!$B$14*9</f>
        <v>14040</v>
      </c>
      <c r="C25" s="84">
        <f>Lähtötiedot_kustannukset!$B$14*9</f>
        <v>14040</v>
      </c>
      <c r="D25" s="84">
        <f>Lähtötiedot_kustannukset!$B$14*9</f>
        <v>14040</v>
      </c>
      <c r="E25" s="84">
        <f>Lähtötiedot_kustannukset!$B$14*9</f>
        <v>14040</v>
      </c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101"/>
    </row>
    <row r="26" spans="1:25" x14ac:dyDescent="0.35">
      <c r="A26" s="101" t="s">
        <v>42</v>
      </c>
      <c r="B26" s="103">
        <f>Lähtötiedot_kustannukset!$B$15*9</f>
        <v>3825</v>
      </c>
      <c r="C26" s="103">
        <f>Lähtötiedot_kustannukset!$B$15*9</f>
        <v>3825</v>
      </c>
      <c r="D26" s="103">
        <f>Lähtötiedot_kustannukset!$B$15*9</f>
        <v>3825</v>
      </c>
      <c r="E26" s="103">
        <f>Lähtötiedot_kustannukset!$B$15*9</f>
        <v>3825</v>
      </c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101"/>
    </row>
    <row r="27" spans="1:25" x14ac:dyDescent="0.35">
      <c r="A27" s="101" t="s">
        <v>27</v>
      </c>
      <c r="B27" s="84"/>
      <c r="C27" s="84">
        <f>Lähtötiedot_kustannukset!$B$16*9</f>
        <v>414</v>
      </c>
      <c r="D27" s="84">
        <f>Lähtötiedot_kustannukset!$B$16*9</f>
        <v>414</v>
      </c>
      <c r="E27" s="84">
        <f>Lähtötiedot_kustannukset!$B$16*9</f>
        <v>414</v>
      </c>
      <c r="F27" s="84">
        <f>Lähtötiedot_kustannukset!$B$16*9</f>
        <v>414</v>
      </c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101"/>
    </row>
    <row r="28" spans="1:25" x14ac:dyDescent="0.35">
      <c r="A28" s="100" t="s">
        <v>28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101"/>
    </row>
    <row r="29" spans="1:25" x14ac:dyDescent="0.35">
      <c r="A29" s="101" t="s">
        <v>123</v>
      </c>
      <c r="B29" s="84"/>
      <c r="C29" s="84"/>
      <c r="D29" s="84"/>
      <c r="E29" s="84"/>
      <c r="F29" s="103">
        <f>Lähtötiedot_kustannukset!$B$20*9</f>
        <v>9645.119999999999</v>
      </c>
      <c r="G29" s="103">
        <f>Lähtötiedot_kustannukset!$B$20*9</f>
        <v>9645.119999999999</v>
      </c>
      <c r="H29" s="103">
        <f>Lähtötiedot_kustannukset!$B$20*9</f>
        <v>9645.119999999999</v>
      </c>
      <c r="I29" s="103">
        <f>Lähtötiedot_kustannukset!$B$20*9</f>
        <v>9645.119999999999</v>
      </c>
      <c r="J29" s="103">
        <f>Lähtötiedot_kustannukset!$B$20*9</f>
        <v>9645.119999999999</v>
      </c>
      <c r="K29" s="103">
        <f>Lähtötiedot_kustannukset!$B$20*9</f>
        <v>9645.119999999999</v>
      </c>
      <c r="L29" s="103">
        <f>Lähtötiedot_kustannukset!$B$20*9</f>
        <v>9645.119999999999</v>
      </c>
      <c r="M29" s="103">
        <f>Lähtötiedot_kustannukset!$B$20*9</f>
        <v>9645.119999999999</v>
      </c>
      <c r="N29" s="103">
        <f>Lähtötiedot_kustannukset!$B$20*9</f>
        <v>9645.119999999999</v>
      </c>
      <c r="O29" s="103">
        <f>Lähtötiedot_kustannukset!$B$20*9</f>
        <v>9645.119999999999</v>
      </c>
      <c r="P29" s="103">
        <f>Lähtötiedot_kustannukset!$B$20*9</f>
        <v>9645.119999999999</v>
      </c>
      <c r="Q29" s="103">
        <f>Lähtötiedot_kustannukset!$B$20*9</f>
        <v>9645.119999999999</v>
      </c>
      <c r="R29" s="103">
        <f>Lähtötiedot_kustannukset!$B$20*9</f>
        <v>9645.119999999999</v>
      </c>
      <c r="S29" s="103">
        <f>Lähtötiedot_kustannukset!$B$20*9</f>
        <v>9645.119999999999</v>
      </c>
      <c r="T29" s="103">
        <f>Lähtötiedot_kustannukset!$B$20*9</f>
        <v>9645.119999999999</v>
      </c>
      <c r="U29" s="103">
        <f>Lähtötiedot_kustannukset!$B$20*9</f>
        <v>9645.119999999999</v>
      </c>
      <c r="V29" s="103">
        <f>Lähtötiedot_kustannukset!$B$20*9</f>
        <v>9645.119999999999</v>
      </c>
      <c r="W29" s="103">
        <f>Lähtötiedot_kustannukset!$B$20*9</f>
        <v>9645.119999999999</v>
      </c>
      <c r="X29" s="103">
        <f>Lähtötiedot_kustannukset!$B$20*9</f>
        <v>9645.119999999999</v>
      </c>
      <c r="Y29" s="105">
        <f>Lähtötiedot_kustannukset!$B$20*9</f>
        <v>9645.119999999999</v>
      </c>
    </row>
    <row r="30" spans="1:25" x14ac:dyDescent="0.35">
      <c r="A30" s="101" t="s">
        <v>121</v>
      </c>
      <c r="B30" s="84"/>
      <c r="C30" s="84"/>
      <c r="D30" s="84"/>
      <c r="E30" s="84"/>
      <c r="F30" s="103">
        <f>Lähtötiedot_kustannukset!$B$34*9</f>
        <v>2990.7027027027002</v>
      </c>
      <c r="G30" s="103">
        <f>Lähtötiedot_kustannukset!$B$34*9</f>
        <v>2990.7027027027002</v>
      </c>
      <c r="H30" s="103">
        <f>Lähtötiedot_kustannukset!$B$34*9</f>
        <v>2990.7027027027002</v>
      </c>
      <c r="I30" s="103">
        <f>Lähtötiedot_kustannukset!$B$34*9</f>
        <v>2990.7027027027002</v>
      </c>
      <c r="J30" s="103">
        <f>Lähtötiedot_kustannukset!$B$34*9</f>
        <v>2990.7027027027002</v>
      </c>
      <c r="K30" s="103">
        <f>Lähtötiedot_kustannukset!$B$34*9</f>
        <v>2990.7027027027002</v>
      </c>
      <c r="L30" s="103">
        <f>Lähtötiedot_kustannukset!$B$34*9</f>
        <v>2990.7027027027002</v>
      </c>
      <c r="M30" s="103">
        <f>Lähtötiedot_kustannukset!$B$34*9</f>
        <v>2990.7027027027002</v>
      </c>
      <c r="N30" s="103">
        <f>Lähtötiedot_kustannukset!$B$34*9</f>
        <v>2990.7027027027002</v>
      </c>
      <c r="O30" s="103">
        <f>Lähtötiedot_kustannukset!$B$34*9</f>
        <v>2990.7027027027002</v>
      </c>
      <c r="P30" s="103">
        <f>Lähtötiedot_kustannukset!$B$34*9</f>
        <v>2990.7027027027002</v>
      </c>
      <c r="Q30" s="103">
        <f>Lähtötiedot_kustannukset!$B$34*9</f>
        <v>2990.7027027027002</v>
      </c>
      <c r="R30" s="103">
        <f>Lähtötiedot_kustannukset!$B$34*9</f>
        <v>2990.7027027027002</v>
      </c>
      <c r="S30" s="103">
        <f>Lähtötiedot_kustannukset!$B$34*9</f>
        <v>2990.7027027027002</v>
      </c>
      <c r="T30" s="103">
        <f>Lähtötiedot_kustannukset!$B$34*9</f>
        <v>2990.7027027027002</v>
      </c>
      <c r="U30" s="103">
        <f>Lähtötiedot_kustannukset!$B$34*9</f>
        <v>2990.7027027027002</v>
      </c>
      <c r="V30" s="103">
        <f>Lähtötiedot_kustannukset!$B$34*9</f>
        <v>2990.7027027027002</v>
      </c>
      <c r="W30" s="103">
        <f>Lähtötiedot_kustannukset!$B$34*9</f>
        <v>2990.7027027027002</v>
      </c>
      <c r="X30" s="103">
        <f>Lähtötiedot_kustannukset!$B$34*9</f>
        <v>2990.7027027027002</v>
      </c>
      <c r="Y30" s="105">
        <f>Lähtötiedot_kustannukset!$B$34*9</f>
        <v>2990.7027027027002</v>
      </c>
    </row>
    <row r="31" spans="1:25" x14ac:dyDescent="0.35">
      <c r="A31" s="101" t="s">
        <v>109</v>
      </c>
      <c r="B31" s="84"/>
      <c r="C31" s="84"/>
      <c r="D31" s="84"/>
      <c r="E31" s="84"/>
      <c r="F31" s="106">
        <f>Lähtötiedot_kustannukset!$B$31*9</f>
        <v>8788.8268156424601</v>
      </c>
      <c r="G31" s="106">
        <f>Lähtötiedot_kustannukset!$B$31*9</f>
        <v>8788.8268156424601</v>
      </c>
      <c r="H31" s="106">
        <f>Lähtötiedot_kustannukset!$B$31*9</f>
        <v>8788.8268156424601</v>
      </c>
      <c r="I31" s="106">
        <f>Lähtötiedot_kustannukset!$B$31*9</f>
        <v>8788.8268156424601</v>
      </c>
      <c r="J31" s="106">
        <f>Lähtötiedot_kustannukset!$B$31*9</f>
        <v>8788.8268156424601</v>
      </c>
      <c r="K31" s="106">
        <f>Lähtötiedot_kustannukset!$B$31*9</f>
        <v>8788.8268156424601</v>
      </c>
      <c r="L31" s="106">
        <f>Lähtötiedot_kustannukset!$B$31*9</f>
        <v>8788.8268156424601</v>
      </c>
      <c r="M31" s="106">
        <f>Lähtötiedot_kustannukset!$B$31*9</f>
        <v>8788.8268156424601</v>
      </c>
      <c r="N31" s="106">
        <f>Lähtötiedot_kustannukset!$B$31*9</f>
        <v>8788.8268156424601</v>
      </c>
      <c r="O31" s="106">
        <f>Lähtötiedot_kustannukset!$B$31*9</f>
        <v>8788.8268156424601</v>
      </c>
      <c r="P31" s="106">
        <f>Lähtötiedot_kustannukset!$B$31*9</f>
        <v>8788.8268156424601</v>
      </c>
      <c r="Q31" s="106">
        <f>Lähtötiedot_kustannukset!$B$31*9</f>
        <v>8788.8268156424601</v>
      </c>
      <c r="R31" s="106">
        <f>Lähtötiedot_kustannukset!$B$31*9</f>
        <v>8788.8268156424601</v>
      </c>
      <c r="S31" s="106">
        <f>Lähtötiedot_kustannukset!$B$31*9</f>
        <v>8788.8268156424601</v>
      </c>
      <c r="T31" s="106">
        <f>Lähtötiedot_kustannukset!$B$31*9</f>
        <v>8788.8268156424601</v>
      </c>
      <c r="U31" s="106">
        <f>Lähtötiedot_kustannukset!$B$31*9</f>
        <v>8788.8268156424601</v>
      </c>
      <c r="V31" s="106">
        <f>Lähtötiedot_kustannukset!$B$31*9</f>
        <v>8788.8268156424601</v>
      </c>
      <c r="W31" s="106">
        <f>Lähtötiedot_kustannukset!$B$31*9</f>
        <v>8788.8268156424601</v>
      </c>
      <c r="X31" s="106">
        <f>Lähtötiedot_kustannukset!$B$31*9</f>
        <v>8788.8268156424601</v>
      </c>
      <c r="Y31" s="107">
        <f>Lähtötiedot_kustannukset!$B$31*9</f>
        <v>8788.8268156424601</v>
      </c>
    </row>
    <row r="32" spans="1:25" x14ac:dyDescent="0.35">
      <c r="A32" s="101" t="s">
        <v>43</v>
      </c>
      <c r="B32" s="84"/>
      <c r="C32" s="84"/>
      <c r="D32" s="84"/>
      <c r="E32" s="84"/>
      <c r="F32" s="103">
        <f>Lähtötiedot_kustannukset!$B$22*9</f>
        <v>6864.7924528301892</v>
      </c>
      <c r="G32" s="103">
        <f>Lähtötiedot_kustannukset!$B$22*9</f>
        <v>6864.7924528301892</v>
      </c>
      <c r="H32" s="103">
        <f>Lähtötiedot_kustannukset!$B$22*9</f>
        <v>6864.7924528301892</v>
      </c>
      <c r="I32" s="103">
        <f>Lähtötiedot_kustannukset!$B$22*9</f>
        <v>6864.7924528301892</v>
      </c>
      <c r="J32" s="103">
        <f>Lähtötiedot_kustannukset!$B$22*9</f>
        <v>6864.7924528301892</v>
      </c>
      <c r="K32" s="103">
        <f>Lähtötiedot_kustannukset!$B$22*9</f>
        <v>6864.7924528301892</v>
      </c>
      <c r="L32" s="103">
        <f>Lähtötiedot_kustannukset!$B$22*9</f>
        <v>6864.7924528301892</v>
      </c>
      <c r="M32" s="103">
        <f>Lähtötiedot_kustannukset!$B$22*9</f>
        <v>6864.7924528301892</v>
      </c>
      <c r="N32" s="103">
        <f>Lähtötiedot_kustannukset!$B$22*9</f>
        <v>6864.7924528301892</v>
      </c>
      <c r="O32" s="103">
        <f>Lähtötiedot_kustannukset!$B$22*9</f>
        <v>6864.7924528301892</v>
      </c>
      <c r="P32" s="103">
        <f>Lähtötiedot_kustannukset!$B$22*9</f>
        <v>6864.7924528301892</v>
      </c>
      <c r="Q32" s="103">
        <f>Lähtötiedot_kustannukset!$B$22*9</f>
        <v>6864.7924528301892</v>
      </c>
      <c r="R32" s="103">
        <f>Lähtötiedot_kustannukset!$B$22*9</f>
        <v>6864.7924528301892</v>
      </c>
      <c r="S32" s="103">
        <f>Lähtötiedot_kustannukset!$B$22*9</f>
        <v>6864.7924528301892</v>
      </c>
      <c r="T32" s="103">
        <f>Lähtötiedot_kustannukset!$B$22*9</f>
        <v>6864.7924528301892</v>
      </c>
      <c r="U32" s="103">
        <f>Lähtötiedot_kustannukset!$B$22*9</f>
        <v>6864.7924528301892</v>
      </c>
      <c r="V32" s="103">
        <f>Lähtötiedot_kustannukset!$B$22*9</f>
        <v>6864.7924528301892</v>
      </c>
      <c r="W32" s="103">
        <f>Lähtötiedot_kustannukset!$B$22*9</f>
        <v>6864.7924528301892</v>
      </c>
      <c r="X32" s="103">
        <f>Lähtötiedot_kustannukset!$B$22*9</f>
        <v>6864.7924528301892</v>
      </c>
      <c r="Y32" s="101"/>
    </row>
    <row r="33" spans="1:26" x14ac:dyDescent="0.35">
      <c r="A33" s="100" t="s">
        <v>30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101"/>
    </row>
    <row r="34" spans="1:26" x14ac:dyDescent="0.35">
      <c r="A34" s="108" t="s">
        <v>31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109">
        <f>Lähtötiedot_kustannukset!$B$25*9</f>
        <v>10476</v>
      </c>
      <c r="W34" s="109">
        <f>Lähtötiedot_kustannukset!$B$25*9</f>
        <v>10476</v>
      </c>
      <c r="X34" s="109">
        <f>Lähtötiedot_kustannukset!$B$25*9</f>
        <v>10476</v>
      </c>
      <c r="Y34" s="110">
        <f>Lähtötiedot_kustannukset!$B$25*9</f>
        <v>10476</v>
      </c>
    </row>
    <row r="35" spans="1:26" x14ac:dyDescent="0.35">
      <c r="A35" s="100" t="s">
        <v>32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101"/>
    </row>
    <row r="36" spans="1:26" x14ac:dyDescent="0.35">
      <c r="A36" s="101" t="s">
        <v>33</v>
      </c>
      <c r="B36" s="103">
        <f>Lähtötiedot_kustannukset!$B$28*9</f>
        <v>2065.9500000000003</v>
      </c>
      <c r="C36" s="103">
        <f>Lähtötiedot_kustannukset!$B$28*18</f>
        <v>4131.9000000000005</v>
      </c>
      <c r="D36" s="103">
        <f>Lähtötiedot_kustannukset!$B$28*27</f>
        <v>6197.85</v>
      </c>
      <c r="E36" s="103">
        <f>Lähtötiedot_kustannukset!$B$28*36</f>
        <v>8263.8000000000011</v>
      </c>
      <c r="F36" s="103">
        <f>Lähtötiedot_kustannukset!$B$28*36</f>
        <v>8263.8000000000011</v>
      </c>
      <c r="G36" s="103">
        <f>Lähtötiedot_kustannukset!$B$28*36</f>
        <v>8263.8000000000011</v>
      </c>
      <c r="H36" s="103">
        <f>Lähtötiedot_kustannukset!$B$28*36</f>
        <v>8263.8000000000011</v>
      </c>
      <c r="I36" s="103">
        <f>Lähtötiedot_kustannukset!$B$28*36</f>
        <v>8263.8000000000011</v>
      </c>
      <c r="J36" s="103">
        <f>Lähtötiedot_kustannukset!$B$28*36</f>
        <v>8263.8000000000011</v>
      </c>
      <c r="K36" s="103">
        <f>Lähtötiedot_kustannukset!$B$28*36</f>
        <v>8263.8000000000011</v>
      </c>
      <c r="L36" s="103">
        <f>Lähtötiedot_kustannukset!$B$28*36</f>
        <v>8263.8000000000011</v>
      </c>
      <c r="M36" s="103">
        <f>Lähtötiedot_kustannukset!$B$28*36</f>
        <v>8263.8000000000011</v>
      </c>
      <c r="N36" s="103">
        <f>Lähtötiedot_kustannukset!$B$28*36</f>
        <v>8263.8000000000011</v>
      </c>
      <c r="O36" s="103">
        <f>Lähtötiedot_kustannukset!$B$28*36</f>
        <v>8263.8000000000011</v>
      </c>
      <c r="P36" s="103">
        <f>Lähtötiedot_kustannukset!$B$28*36</f>
        <v>8263.8000000000011</v>
      </c>
      <c r="Q36" s="103">
        <f>Lähtötiedot_kustannukset!$B$28*36</f>
        <v>8263.8000000000011</v>
      </c>
      <c r="R36" s="103">
        <f>Lähtötiedot_kustannukset!$B$28*36</f>
        <v>8263.8000000000011</v>
      </c>
      <c r="S36" s="103">
        <f>Lähtötiedot_kustannukset!$B$28*36</f>
        <v>8263.8000000000011</v>
      </c>
      <c r="T36" s="103">
        <f>Lähtötiedot_kustannukset!$B$28*36</f>
        <v>8263.8000000000011</v>
      </c>
      <c r="U36" s="103">
        <f>Lähtötiedot_kustannukset!$B$28*36</f>
        <v>8263.8000000000011</v>
      </c>
      <c r="V36" s="103">
        <f>Lähtötiedot_kustannukset!$B$28*36</f>
        <v>8263.8000000000011</v>
      </c>
      <c r="W36" s="103">
        <f>Lähtötiedot_kustannukset!$B$28*27</f>
        <v>6197.85</v>
      </c>
      <c r="X36" s="103">
        <f>Lähtötiedot_kustannukset!$B$28*18</f>
        <v>4131.9000000000005</v>
      </c>
      <c r="Y36" s="105">
        <f>Lähtötiedot_kustannukset!$B$28*9</f>
        <v>2065.9500000000003</v>
      </c>
    </row>
    <row r="37" spans="1:26" x14ac:dyDescent="0.35">
      <c r="A37" s="100" t="s">
        <v>75</v>
      </c>
      <c r="B37" s="84"/>
      <c r="C37" s="84"/>
      <c r="D37" s="84"/>
      <c r="E37" s="84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7"/>
    </row>
    <row r="38" spans="1:26" x14ac:dyDescent="0.35">
      <c r="A38" s="101" t="s">
        <v>87</v>
      </c>
      <c r="B38" s="84"/>
      <c r="C38" s="84"/>
      <c r="D38" s="84"/>
      <c r="E38" s="109">
        <f>SUM(Lähtötiedot_kustannukset!B37:B40)</f>
        <v>258900</v>
      </c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101"/>
    </row>
    <row r="39" spans="1:26" x14ac:dyDescent="0.35">
      <c r="A39" s="101" t="s">
        <v>76</v>
      </c>
      <c r="B39" s="84"/>
      <c r="C39" s="84"/>
      <c r="D39" s="84"/>
      <c r="E39" s="84"/>
      <c r="F39" s="102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101"/>
    </row>
    <row r="40" spans="1:26" x14ac:dyDescent="0.35">
      <c r="A40" s="101" t="s">
        <v>88</v>
      </c>
      <c r="B40" s="84"/>
      <c r="C40" s="84"/>
      <c r="D40" s="84"/>
      <c r="E40" s="109">
        <f>Lähtötiedot_kustannukset!B41</f>
        <v>20000</v>
      </c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101"/>
    </row>
    <row r="41" spans="1:26" ht="15" customHeight="1" x14ac:dyDescent="0.35">
      <c r="A41" s="101" t="s">
        <v>85</v>
      </c>
      <c r="B41" s="84"/>
      <c r="C41" s="84"/>
      <c r="D41" s="84"/>
      <c r="E41" s="84"/>
      <c r="F41" s="109">
        <f>Lähtötiedot_kustannukset!$B$44</f>
        <v>8367</v>
      </c>
      <c r="G41" s="109">
        <f>Lähtötiedot_kustannukset!$B$44</f>
        <v>8367</v>
      </c>
      <c r="H41" s="109">
        <f>Lähtötiedot_kustannukset!$B$44</f>
        <v>8367</v>
      </c>
      <c r="I41" s="109">
        <f>Lähtötiedot_kustannukset!$B$44</f>
        <v>8367</v>
      </c>
      <c r="J41" s="109">
        <f>Lähtötiedot_kustannukset!$B$44</f>
        <v>8367</v>
      </c>
      <c r="K41" s="109">
        <f>Lähtötiedot_kustannukset!$B$44</f>
        <v>8367</v>
      </c>
      <c r="L41" s="109">
        <f>Lähtötiedot_kustannukset!$B$44</f>
        <v>8367</v>
      </c>
      <c r="M41" s="109">
        <f>Lähtötiedot_kustannukset!$B$44</f>
        <v>8367</v>
      </c>
      <c r="N41" s="109">
        <f>Lähtötiedot_kustannukset!$B$44</f>
        <v>8367</v>
      </c>
      <c r="O41" s="109">
        <f>Lähtötiedot_kustannukset!$B$44</f>
        <v>8367</v>
      </c>
      <c r="P41" s="109">
        <f>Lähtötiedot_kustannukset!$B$44</f>
        <v>8367</v>
      </c>
      <c r="Q41" s="109">
        <f>Lähtötiedot_kustannukset!$B$44</f>
        <v>8367</v>
      </c>
      <c r="R41" s="109">
        <f>Lähtötiedot_kustannukset!$B$44</f>
        <v>8367</v>
      </c>
      <c r="S41" s="109">
        <f>Lähtötiedot_kustannukset!$B$44</f>
        <v>8367</v>
      </c>
      <c r="T41" s="109">
        <f>Lähtötiedot_kustannukset!$B$44</f>
        <v>8367</v>
      </c>
      <c r="U41" s="109">
        <f>Lähtötiedot_kustannukset!$B$44</f>
        <v>8367</v>
      </c>
      <c r="V41" s="109">
        <f>Lähtötiedot_kustannukset!$B$44</f>
        <v>8367</v>
      </c>
      <c r="W41" s="109">
        <f>Lähtötiedot_kustannukset!$B$44</f>
        <v>8367</v>
      </c>
      <c r="X41" s="109">
        <f>Lähtötiedot_kustannukset!$B$44</f>
        <v>8367</v>
      </c>
      <c r="Y41" s="110">
        <f>Lähtötiedot_kustannukset!$B$44</f>
        <v>8367</v>
      </c>
    </row>
    <row r="42" spans="1:26" x14ac:dyDescent="0.35">
      <c r="A42" s="104" t="s">
        <v>77</v>
      </c>
      <c r="B42" s="111"/>
      <c r="C42" s="111"/>
      <c r="D42" s="111"/>
      <c r="E42" s="111"/>
      <c r="F42" s="109">
        <f>Lähtötiedot_kustannukset!$B$42</f>
        <v>7500</v>
      </c>
      <c r="G42" s="109">
        <f>Lähtötiedot_kustannukset!$B$42</f>
        <v>7500</v>
      </c>
      <c r="H42" s="109">
        <f>Lähtötiedot_kustannukset!$B$42</f>
        <v>7500</v>
      </c>
      <c r="I42" s="109">
        <f>Lähtötiedot_kustannukset!$B$42</f>
        <v>7500</v>
      </c>
      <c r="J42" s="109">
        <f>Lähtötiedot_kustannukset!$B$42</f>
        <v>7500</v>
      </c>
      <c r="K42" s="109">
        <f>Lähtötiedot_kustannukset!$B$42</f>
        <v>7500</v>
      </c>
      <c r="L42" s="109">
        <f>Lähtötiedot_kustannukset!$B$42</f>
        <v>7500</v>
      </c>
      <c r="M42" s="109">
        <f>Lähtötiedot_kustannukset!$B$42</f>
        <v>7500</v>
      </c>
      <c r="N42" s="109">
        <f>Lähtötiedot_kustannukset!$B$42</f>
        <v>7500</v>
      </c>
      <c r="O42" s="109">
        <f>Lähtötiedot_kustannukset!$B$42</f>
        <v>7500</v>
      </c>
      <c r="P42" s="109">
        <f>Lähtötiedot_kustannukset!$B$42</f>
        <v>7500</v>
      </c>
      <c r="Q42" s="109">
        <f>Lähtötiedot_kustannukset!$B$42</f>
        <v>7500</v>
      </c>
      <c r="R42" s="109">
        <f>Lähtötiedot_kustannukset!$B$42</f>
        <v>7500</v>
      </c>
      <c r="S42" s="109">
        <f>Lähtötiedot_kustannukset!$B$42</f>
        <v>7500</v>
      </c>
      <c r="T42" s="109">
        <f>Lähtötiedot_kustannukset!$B$42</f>
        <v>7500</v>
      </c>
      <c r="U42" s="109">
        <f>Lähtötiedot_kustannukset!$B$42</f>
        <v>7500</v>
      </c>
      <c r="V42" s="109">
        <f>Lähtötiedot_kustannukset!$B$42</f>
        <v>7500</v>
      </c>
      <c r="W42" s="109">
        <f>Lähtötiedot_kustannukset!$B$42</f>
        <v>7500</v>
      </c>
      <c r="X42" s="109">
        <f>Lähtötiedot_kustannukset!$B$42</f>
        <v>7500</v>
      </c>
      <c r="Y42" s="110">
        <f>Lähtötiedot_kustannukset!$B$42</f>
        <v>7500</v>
      </c>
    </row>
    <row r="43" spans="1:26" x14ac:dyDescent="0.35">
      <c r="A43" s="101" t="s">
        <v>84</v>
      </c>
      <c r="B43" s="84"/>
      <c r="C43" s="84"/>
      <c r="D43" s="84"/>
      <c r="E43" s="84"/>
      <c r="F43" s="103">
        <f>Lähtötiedot_kustannukset!$B$43</f>
        <v>3360</v>
      </c>
      <c r="G43" s="103">
        <f>Lähtötiedot_kustannukset!$B$43</f>
        <v>3360</v>
      </c>
      <c r="H43" s="103">
        <f>Lähtötiedot_kustannukset!$B$43</f>
        <v>3360</v>
      </c>
      <c r="I43" s="103">
        <f>Lähtötiedot_kustannukset!$B$43</f>
        <v>3360</v>
      </c>
      <c r="J43" s="103">
        <f>Lähtötiedot_kustannukset!$B$43</f>
        <v>3360</v>
      </c>
      <c r="K43" s="103">
        <f>Lähtötiedot_kustannukset!$B$43</f>
        <v>3360</v>
      </c>
      <c r="L43" s="103">
        <f>Lähtötiedot_kustannukset!$B$43</f>
        <v>3360</v>
      </c>
      <c r="M43" s="103">
        <f>Lähtötiedot_kustannukset!$B$43</f>
        <v>3360</v>
      </c>
      <c r="N43" s="103">
        <f>Lähtötiedot_kustannukset!$B$43</f>
        <v>3360</v>
      </c>
      <c r="O43" s="103">
        <f>Lähtötiedot_kustannukset!$B$43</f>
        <v>3360</v>
      </c>
      <c r="P43" s="103">
        <f>Lähtötiedot_kustannukset!$B$43</f>
        <v>3360</v>
      </c>
      <c r="Q43" s="103">
        <f>Lähtötiedot_kustannukset!$B$43</f>
        <v>3360</v>
      </c>
      <c r="R43" s="103">
        <f>Lähtötiedot_kustannukset!$B$43</f>
        <v>3360</v>
      </c>
      <c r="S43" s="103">
        <f>Lähtötiedot_kustannukset!$B$43</f>
        <v>3360</v>
      </c>
      <c r="T43" s="103">
        <f>Lähtötiedot_kustannukset!$B$43</f>
        <v>3360</v>
      </c>
      <c r="U43" s="103">
        <f>Lähtötiedot_kustannukset!$B$43</f>
        <v>3360</v>
      </c>
      <c r="V43" s="103">
        <f>Lähtötiedot_kustannukset!$B$43</f>
        <v>3360</v>
      </c>
      <c r="W43" s="103">
        <f>Lähtötiedot_kustannukset!$B$43</f>
        <v>3360</v>
      </c>
      <c r="X43" s="103">
        <f>Lähtötiedot_kustannukset!$B$43</f>
        <v>3360</v>
      </c>
      <c r="Y43" s="105">
        <f>Lähtötiedot_kustannukset!$B$43</f>
        <v>3360</v>
      </c>
    </row>
    <row r="44" spans="1:26" x14ac:dyDescent="0.35">
      <c r="A44" s="112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2"/>
    </row>
    <row r="45" spans="1:26" ht="15" thickBot="1" x14ac:dyDescent="0.4">
      <c r="A45" s="114" t="s">
        <v>34</v>
      </c>
      <c r="B45" s="115"/>
      <c r="C45" s="115"/>
      <c r="D45" s="115"/>
      <c r="E45" s="115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</row>
    <row r="46" spans="1:26" x14ac:dyDescent="0.35">
      <c r="A46" s="117" t="s">
        <v>78</v>
      </c>
      <c r="B46" s="88"/>
      <c r="C46" s="88"/>
      <c r="D46" s="88"/>
      <c r="E46" s="88"/>
      <c r="F46" s="118">
        <f>Lähtötiedot_tuotot!$D$6</f>
        <v>44800</v>
      </c>
      <c r="G46" s="118">
        <f>Lähtötiedot_tuotot!$D$6</f>
        <v>44800</v>
      </c>
      <c r="H46" s="118">
        <f>Lähtötiedot_tuotot!$D$6</f>
        <v>44800</v>
      </c>
      <c r="I46" s="118">
        <f>Lähtötiedot_tuotot!$D$6</f>
        <v>44800</v>
      </c>
      <c r="J46" s="118">
        <f>Lähtötiedot_tuotot!$D$6</f>
        <v>44800</v>
      </c>
      <c r="K46" s="118">
        <f>Lähtötiedot_tuotot!$D$6</f>
        <v>44800</v>
      </c>
      <c r="L46" s="118">
        <f>Lähtötiedot_tuotot!$D$6</f>
        <v>44800</v>
      </c>
      <c r="M46" s="118">
        <f>Lähtötiedot_tuotot!$D$6</f>
        <v>44800</v>
      </c>
      <c r="N46" s="118">
        <f>Lähtötiedot_tuotot!$D$6</f>
        <v>44800</v>
      </c>
      <c r="O46" s="118">
        <f>Lähtötiedot_tuotot!$D$6</f>
        <v>44800</v>
      </c>
      <c r="P46" s="118">
        <f>Lähtötiedot_tuotot!$D$6</f>
        <v>44800</v>
      </c>
      <c r="Q46" s="118">
        <f>Lähtötiedot_tuotot!$D$6</f>
        <v>44800</v>
      </c>
      <c r="R46" s="118">
        <f>Lähtötiedot_tuotot!$D$6</f>
        <v>44800</v>
      </c>
      <c r="S46" s="118">
        <f>Lähtötiedot_tuotot!$D$6</f>
        <v>44800</v>
      </c>
      <c r="T46" s="118">
        <f>Lähtötiedot_tuotot!$D$6</f>
        <v>44800</v>
      </c>
      <c r="U46" s="118">
        <f>Lähtötiedot_tuotot!$D$6</f>
        <v>44800</v>
      </c>
      <c r="V46" s="118">
        <f>Lähtötiedot_tuotot!$D$6</f>
        <v>44800</v>
      </c>
      <c r="W46" s="118">
        <f>Lähtötiedot_tuotot!$D$6</f>
        <v>44800</v>
      </c>
      <c r="X46" s="118">
        <f>Lähtötiedot_tuotot!$D$6</f>
        <v>44800</v>
      </c>
      <c r="Y46" s="118">
        <f>Lähtötiedot_tuotot!$D$6</f>
        <v>44800</v>
      </c>
      <c r="Z46" s="18">
        <f>SUM(B46:Y46)</f>
        <v>896000</v>
      </c>
    </row>
    <row r="47" spans="1:26" x14ac:dyDescent="0.35">
      <c r="A47" s="117" t="s">
        <v>122</v>
      </c>
      <c r="B47" s="88"/>
      <c r="C47" s="88"/>
      <c r="D47" s="88"/>
      <c r="E47" s="88"/>
      <c r="F47" s="118">
        <f>Lähtötiedot_tuotot!$D$8</f>
        <v>21840</v>
      </c>
      <c r="G47" s="118">
        <f>Lähtötiedot_tuotot!$D$8</f>
        <v>21840</v>
      </c>
      <c r="H47" s="118">
        <f>Lähtötiedot_tuotot!$D$8</f>
        <v>21840</v>
      </c>
      <c r="I47" s="118">
        <f>Lähtötiedot_tuotot!$D$8</f>
        <v>21840</v>
      </c>
      <c r="J47" s="118">
        <f>Lähtötiedot_tuotot!$D$8</f>
        <v>21840</v>
      </c>
      <c r="K47" s="118">
        <f>Lähtötiedot_tuotot!$D$8</f>
        <v>21840</v>
      </c>
      <c r="L47" s="118">
        <f>Lähtötiedot_tuotot!$D$8</f>
        <v>21840</v>
      </c>
      <c r="M47" s="118">
        <f>Lähtötiedot_tuotot!$D$8</f>
        <v>21840</v>
      </c>
      <c r="N47" s="118">
        <f>Lähtötiedot_tuotot!$D$8</f>
        <v>21840</v>
      </c>
      <c r="O47" s="118">
        <f>Lähtötiedot_tuotot!$D$8</f>
        <v>21840</v>
      </c>
      <c r="P47" s="118">
        <f>Lähtötiedot_tuotot!$D$8</f>
        <v>21840</v>
      </c>
      <c r="Q47" s="118">
        <f>Lähtötiedot_tuotot!$D$8</f>
        <v>21840</v>
      </c>
      <c r="R47" s="118">
        <f>Lähtötiedot_tuotot!$D$8</f>
        <v>21840</v>
      </c>
      <c r="S47" s="118">
        <f>Lähtötiedot_tuotot!$D$8</f>
        <v>21840</v>
      </c>
      <c r="T47" s="118">
        <f>Lähtötiedot_tuotot!$D$8</f>
        <v>21840</v>
      </c>
      <c r="U47" s="118">
        <f>Lähtötiedot_tuotot!$D$8</f>
        <v>21840</v>
      </c>
      <c r="V47" s="118">
        <f>Lähtötiedot_tuotot!$D$8</f>
        <v>21840</v>
      </c>
      <c r="W47" s="118">
        <f>Lähtötiedot_tuotot!$D$8</f>
        <v>21840</v>
      </c>
      <c r="X47" s="118">
        <f>Lähtötiedot_tuotot!$D$8</f>
        <v>21840</v>
      </c>
      <c r="Y47" s="118">
        <f>Lähtötiedot_tuotot!$D$8</f>
        <v>21840</v>
      </c>
      <c r="Z47" s="18">
        <f>SUM(B47:Y47)</f>
        <v>436800</v>
      </c>
    </row>
    <row r="48" spans="1:26" x14ac:dyDescent="0.35">
      <c r="A48" s="117" t="s">
        <v>124</v>
      </c>
      <c r="B48" s="88"/>
      <c r="C48" s="88"/>
      <c r="D48" s="88"/>
      <c r="E48" s="88"/>
      <c r="F48" s="118">
        <f>Lähtötiedot_tuotot!$D$7</f>
        <v>30240</v>
      </c>
      <c r="G48" s="118">
        <f>Lähtötiedot_tuotot!$D$7</f>
        <v>30240</v>
      </c>
      <c r="H48" s="118">
        <f>Lähtötiedot_tuotot!$D$7</f>
        <v>30240</v>
      </c>
      <c r="I48" s="118">
        <f>Lähtötiedot_tuotot!$D$7</f>
        <v>30240</v>
      </c>
      <c r="J48" s="118">
        <f>Lähtötiedot_tuotot!$D$7</f>
        <v>30240</v>
      </c>
      <c r="K48" s="118">
        <f>Lähtötiedot_tuotot!$D$7</f>
        <v>30240</v>
      </c>
      <c r="L48" s="118">
        <f>Lähtötiedot_tuotot!$D$7</f>
        <v>30240</v>
      </c>
      <c r="M48" s="118">
        <f>Lähtötiedot_tuotot!$D$7</f>
        <v>30240</v>
      </c>
      <c r="N48" s="118">
        <f>Lähtötiedot_tuotot!$D$7</f>
        <v>30240</v>
      </c>
      <c r="O48" s="118">
        <f>Lähtötiedot_tuotot!$D$7</f>
        <v>30240</v>
      </c>
      <c r="P48" s="118">
        <f>Lähtötiedot_tuotot!$D$7</f>
        <v>30240</v>
      </c>
      <c r="Q48" s="118">
        <f>Lähtötiedot_tuotot!$D$7</f>
        <v>30240</v>
      </c>
      <c r="R48" s="118">
        <f>Lähtötiedot_tuotot!$D$7</f>
        <v>30240</v>
      </c>
      <c r="S48" s="118">
        <f>Lähtötiedot_tuotot!$D$7</f>
        <v>30240</v>
      </c>
      <c r="T48" s="118">
        <f>Lähtötiedot_tuotot!$D$7</f>
        <v>30240</v>
      </c>
      <c r="U48" s="118">
        <f>Lähtötiedot_tuotot!$D$7</f>
        <v>30240</v>
      </c>
      <c r="V48" s="118">
        <f>Lähtötiedot_tuotot!$D$7</f>
        <v>30240</v>
      </c>
      <c r="W48" s="118">
        <f>Lähtötiedot_tuotot!$D$7</f>
        <v>30240</v>
      </c>
      <c r="X48" s="118">
        <f>Lähtötiedot_tuotot!$D$7</f>
        <v>30240</v>
      </c>
      <c r="Y48" s="118">
        <f>Lähtötiedot_tuotot!$D$7</f>
        <v>30240</v>
      </c>
      <c r="Z48" s="18">
        <f>SUM(B48:Y48)</f>
        <v>604800</v>
      </c>
    </row>
    <row r="49" spans="1:27" ht="15" thickBot="1" x14ac:dyDescent="0.4">
      <c r="A49" s="119"/>
      <c r="B49" s="120"/>
      <c r="C49" s="120"/>
      <c r="D49" s="120"/>
      <c r="E49" s="120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26"/>
    </row>
    <row r="50" spans="1:27" x14ac:dyDescent="0.35">
      <c r="A50" s="101"/>
      <c r="B50" s="84"/>
      <c r="C50" s="84"/>
      <c r="D50" s="84"/>
      <c r="E50" s="84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26"/>
    </row>
    <row r="51" spans="1:27" x14ac:dyDescent="0.35">
      <c r="A51" s="10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6"/>
    </row>
    <row r="52" spans="1:27" ht="15.5" x14ac:dyDescent="0.35">
      <c r="A52" s="61" t="s">
        <v>72</v>
      </c>
      <c r="B52" s="71"/>
      <c r="C52" s="71"/>
      <c r="D52" s="71"/>
      <c r="E52" s="71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6"/>
    </row>
    <row r="53" spans="1:27" ht="28.5" customHeight="1" x14ac:dyDescent="0.35">
      <c r="A53" s="36" t="s">
        <v>44</v>
      </c>
      <c r="B53" s="72"/>
      <c r="C53" s="72"/>
      <c r="D53" s="72"/>
      <c r="E53" s="72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16"/>
    </row>
    <row r="54" spans="1:27" x14ac:dyDescent="0.35">
      <c r="A54" s="10" t="s">
        <v>45</v>
      </c>
      <c r="B54" s="12">
        <f t="shared" ref="B54:Y54" si="0">SUM(B17:B44)</f>
        <v>30406.11</v>
      </c>
      <c r="C54" s="12">
        <f t="shared" si="0"/>
        <v>39750.852452830186</v>
      </c>
      <c r="D54" s="12">
        <f t="shared" si="0"/>
        <v>41816.802452830183</v>
      </c>
      <c r="E54" s="12">
        <f t="shared" si="0"/>
        <v>322782.7524528302</v>
      </c>
      <c r="F54" s="12">
        <f t="shared" si="0"/>
        <v>63059.034424005542</v>
      </c>
      <c r="G54" s="12">
        <f t="shared" si="0"/>
        <v>55780.241971175346</v>
      </c>
      <c r="H54" s="12">
        <f t="shared" si="0"/>
        <v>55780.241971175346</v>
      </c>
      <c r="I54" s="12">
        <f t="shared" si="0"/>
        <v>55780.241971175346</v>
      </c>
      <c r="J54" s="12">
        <f t="shared" si="0"/>
        <v>55780.241971175346</v>
      </c>
      <c r="K54" s="12">
        <f t="shared" si="0"/>
        <v>55780.241971175346</v>
      </c>
      <c r="L54" s="12">
        <f t="shared" si="0"/>
        <v>55780.241971175346</v>
      </c>
      <c r="M54" s="12">
        <f t="shared" si="0"/>
        <v>55780.241971175346</v>
      </c>
      <c r="N54" s="12">
        <f t="shared" si="0"/>
        <v>55780.241971175346</v>
      </c>
      <c r="O54" s="12">
        <f t="shared" si="0"/>
        <v>55780.241971175346</v>
      </c>
      <c r="P54" s="12">
        <f t="shared" si="0"/>
        <v>55780.241971175346</v>
      </c>
      <c r="Q54" s="12">
        <f t="shared" si="0"/>
        <v>55780.241971175346</v>
      </c>
      <c r="R54" s="12">
        <f t="shared" si="0"/>
        <v>55780.241971175346</v>
      </c>
      <c r="S54" s="12">
        <f t="shared" si="0"/>
        <v>55780.241971175346</v>
      </c>
      <c r="T54" s="12">
        <f t="shared" si="0"/>
        <v>55780.241971175346</v>
      </c>
      <c r="U54" s="12">
        <f t="shared" si="0"/>
        <v>55780.241971175346</v>
      </c>
      <c r="V54" s="12">
        <f t="shared" si="0"/>
        <v>66256.241971175346</v>
      </c>
      <c r="W54" s="12">
        <f t="shared" si="0"/>
        <v>64190.291971175342</v>
      </c>
      <c r="X54" s="12">
        <f t="shared" si="0"/>
        <v>62124.341971175345</v>
      </c>
      <c r="Y54" s="12">
        <f t="shared" si="0"/>
        <v>53193.59951834516</v>
      </c>
      <c r="Z54" s="17">
        <f>SUM(B54:Y54)</f>
        <v>1580283.6567819975</v>
      </c>
      <c r="AA54" t="s">
        <v>178</v>
      </c>
    </row>
    <row r="55" spans="1:27" x14ac:dyDescent="0.35">
      <c r="A55" s="9" t="s">
        <v>46</v>
      </c>
      <c r="B55" s="14">
        <f t="shared" ref="B55:F55" si="1">SUM(B45:B49)</f>
        <v>0</v>
      </c>
      <c r="C55" s="14">
        <f t="shared" si="1"/>
        <v>0</v>
      </c>
      <c r="D55" s="14">
        <f t="shared" si="1"/>
        <v>0</v>
      </c>
      <c r="E55" s="14">
        <f t="shared" si="1"/>
        <v>0</v>
      </c>
      <c r="F55" s="14">
        <f t="shared" si="1"/>
        <v>96880</v>
      </c>
      <c r="G55" s="14">
        <f t="shared" ref="G55:U55" si="2">SUM(G45:G49)</f>
        <v>96880</v>
      </c>
      <c r="H55" s="14">
        <f t="shared" si="2"/>
        <v>96880</v>
      </c>
      <c r="I55" s="14">
        <f t="shared" si="2"/>
        <v>96880</v>
      </c>
      <c r="J55" s="14">
        <f t="shared" si="2"/>
        <v>96880</v>
      </c>
      <c r="K55" s="14">
        <f t="shared" si="2"/>
        <v>96880</v>
      </c>
      <c r="L55" s="14">
        <f t="shared" si="2"/>
        <v>96880</v>
      </c>
      <c r="M55" s="14">
        <f t="shared" si="2"/>
        <v>96880</v>
      </c>
      <c r="N55" s="14">
        <f t="shared" si="2"/>
        <v>96880</v>
      </c>
      <c r="O55" s="14">
        <f t="shared" si="2"/>
        <v>96880</v>
      </c>
      <c r="P55" s="14">
        <f t="shared" si="2"/>
        <v>96880</v>
      </c>
      <c r="Q55" s="14">
        <f t="shared" si="2"/>
        <v>96880</v>
      </c>
      <c r="R55" s="14">
        <f t="shared" si="2"/>
        <v>96880</v>
      </c>
      <c r="S55" s="14">
        <f t="shared" si="2"/>
        <v>96880</v>
      </c>
      <c r="T55" s="14">
        <f t="shared" si="2"/>
        <v>96880</v>
      </c>
      <c r="U55" s="14">
        <f t="shared" si="2"/>
        <v>96880</v>
      </c>
      <c r="V55" s="14">
        <f t="shared" ref="V55:Y55" si="3">SUM(V45:V49)</f>
        <v>96880</v>
      </c>
      <c r="W55" s="14">
        <f t="shared" si="3"/>
        <v>96880</v>
      </c>
      <c r="X55" s="14">
        <f t="shared" si="3"/>
        <v>96880</v>
      </c>
      <c r="Y55" s="14">
        <f t="shared" si="3"/>
        <v>96880</v>
      </c>
      <c r="Z55" s="18">
        <f>SUM(B55:Y55)</f>
        <v>1937600</v>
      </c>
      <c r="AA55" t="s">
        <v>47</v>
      </c>
    </row>
    <row r="56" spans="1:27" x14ac:dyDescent="0.35">
      <c r="A56" s="13" t="s">
        <v>48</v>
      </c>
      <c r="B56" s="30">
        <f t="shared" ref="B56:Y56" si="4">SUM(B45:B49)-SUM(B17:B43)</f>
        <v>-30406.11</v>
      </c>
      <c r="C56" s="30">
        <f t="shared" si="4"/>
        <v>-39750.852452830186</v>
      </c>
      <c r="D56" s="30">
        <f t="shared" si="4"/>
        <v>-41816.802452830183</v>
      </c>
      <c r="E56" s="30">
        <f t="shared" si="4"/>
        <v>-322782.7524528302</v>
      </c>
      <c r="F56" s="30">
        <f t="shared" si="4"/>
        <v>33820.965575994458</v>
      </c>
      <c r="G56" s="30">
        <f t="shared" si="4"/>
        <v>41099.758028824654</v>
      </c>
      <c r="H56" s="30">
        <f t="shared" si="4"/>
        <v>41099.758028824654</v>
      </c>
      <c r="I56" s="30">
        <f t="shared" si="4"/>
        <v>41099.758028824654</v>
      </c>
      <c r="J56" s="30">
        <f t="shared" si="4"/>
        <v>41099.758028824654</v>
      </c>
      <c r="K56" s="30">
        <f t="shared" si="4"/>
        <v>41099.758028824654</v>
      </c>
      <c r="L56" s="30">
        <f t="shared" si="4"/>
        <v>41099.758028824654</v>
      </c>
      <c r="M56" s="30">
        <f t="shared" si="4"/>
        <v>41099.758028824654</v>
      </c>
      <c r="N56" s="30">
        <f t="shared" si="4"/>
        <v>41099.758028824654</v>
      </c>
      <c r="O56" s="30">
        <f t="shared" si="4"/>
        <v>41099.758028824654</v>
      </c>
      <c r="P56" s="30">
        <f t="shared" si="4"/>
        <v>41099.758028824654</v>
      </c>
      <c r="Q56" s="30">
        <f t="shared" si="4"/>
        <v>41099.758028824654</v>
      </c>
      <c r="R56" s="30">
        <f t="shared" si="4"/>
        <v>41099.758028824654</v>
      </c>
      <c r="S56" s="30">
        <f t="shared" si="4"/>
        <v>41099.758028824654</v>
      </c>
      <c r="T56" s="30">
        <f t="shared" si="4"/>
        <v>41099.758028824654</v>
      </c>
      <c r="U56" s="30">
        <f t="shared" si="4"/>
        <v>41099.758028824654</v>
      </c>
      <c r="V56" s="30">
        <f t="shared" si="4"/>
        <v>30623.758028824654</v>
      </c>
      <c r="W56" s="30">
        <f t="shared" si="4"/>
        <v>32689.708028824658</v>
      </c>
      <c r="X56" s="30">
        <f t="shared" si="4"/>
        <v>34755.658028824655</v>
      </c>
      <c r="Y56" s="30">
        <f t="shared" si="4"/>
        <v>43686.40048165484</v>
      </c>
      <c r="Z56" s="27">
        <f>SUM(B56:Y56)</f>
        <v>357316.34321800235</v>
      </c>
      <c r="AA56" t="s">
        <v>49</v>
      </c>
    </row>
    <row r="57" spans="1:27" x14ac:dyDescent="0.35">
      <c r="A57" s="20" t="s">
        <v>50</v>
      </c>
      <c r="B57" s="31">
        <f>SUM(B46:B53)-SUM(B38:B43)</f>
        <v>0</v>
      </c>
      <c r="C57" s="31">
        <f t="shared" ref="C57:Y57" si="5">B57+(SUM(C45:C49)-SUM(C17:C43))</f>
        <v>-39750.852452830186</v>
      </c>
      <c r="D57" s="31">
        <f t="shared" si="5"/>
        <v>-81567.654905660369</v>
      </c>
      <c r="E57" s="31">
        <f t="shared" si="5"/>
        <v>-404350.40735849057</v>
      </c>
      <c r="F57" s="31">
        <f t="shared" si="5"/>
        <v>-370529.44178249611</v>
      </c>
      <c r="G57" s="31">
        <f t="shared" si="5"/>
        <v>-329429.68375367147</v>
      </c>
      <c r="H57" s="31">
        <f t="shared" si="5"/>
        <v>-288329.92572484683</v>
      </c>
      <c r="I57" s="31">
        <f t="shared" si="5"/>
        <v>-247230.1676960222</v>
      </c>
      <c r="J57" s="31">
        <f t="shared" si="5"/>
        <v>-206130.40966719756</v>
      </c>
      <c r="K57" s="31">
        <f t="shared" si="5"/>
        <v>-165030.65163837292</v>
      </c>
      <c r="L57" s="31">
        <f t="shared" si="5"/>
        <v>-123930.89360954826</v>
      </c>
      <c r="M57" s="31">
        <f t="shared" si="5"/>
        <v>-82831.13558072361</v>
      </c>
      <c r="N57" s="31">
        <f t="shared" si="5"/>
        <v>-41731.377551898957</v>
      </c>
      <c r="O57" s="31">
        <f t="shared" si="5"/>
        <v>-631.61952307430329</v>
      </c>
      <c r="P57" s="31">
        <f t="shared" si="5"/>
        <v>40468.13850575035</v>
      </c>
      <c r="Q57" s="31">
        <f t="shared" si="5"/>
        <v>81567.896534575004</v>
      </c>
      <c r="R57" s="31">
        <f t="shared" si="5"/>
        <v>122667.65456339966</v>
      </c>
      <c r="S57" s="31">
        <f t="shared" si="5"/>
        <v>163767.41259222431</v>
      </c>
      <c r="T57" s="31">
        <f t="shared" si="5"/>
        <v>204867.17062104895</v>
      </c>
      <c r="U57" s="31">
        <f t="shared" si="5"/>
        <v>245966.92864987359</v>
      </c>
      <c r="V57" s="31">
        <f t="shared" si="5"/>
        <v>276590.68667869823</v>
      </c>
      <c r="W57" s="31">
        <f t="shared" si="5"/>
        <v>309280.39470752288</v>
      </c>
      <c r="X57" s="31">
        <f t="shared" si="5"/>
        <v>344036.05273634754</v>
      </c>
      <c r="Y57" s="31">
        <f t="shared" si="5"/>
        <v>387722.4532180024</v>
      </c>
      <c r="Z57" s="16"/>
    </row>
    <row r="58" spans="1:27" ht="29.5" customHeight="1" x14ac:dyDescent="0.35">
      <c r="A58" s="10" t="s">
        <v>51</v>
      </c>
      <c r="B58" t="str">
        <f>IF(B57&gt;0,"+","")</f>
        <v/>
      </c>
      <c r="C58" t="str">
        <f t="shared" ref="C58:F58" si="6">IF(C57&gt;0,"+","")</f>
        <v/>
      </c>
      <c r="D58" t="str">
        <f t="shared" si="6"/>
        <v/>
      </c>
      <c r="E58" t="str">
        <f t="shared" si="6"/>
        <v/>
      </c>
      <c r="F58" t="str">
        <f t="shared" si="6"/>
        <v/>
      </c>
      <c r="G58" t="str">
        <f t="shared" ref="G58:U58" si="7">IF(G57&gt;0,"+","")</f>
        <v/>
      </c>
      <c r="H58" t="str">
        <f t="shared" si="7"/>
        <v/>
      </c>
      <c r="I58" t="str">
        <f t="shared" si="7"/>
        <v/>
      </c>
      <c r="J58" t="str">
        <f t="shared" si="7"/>
        <v/>
      </c>
      <c r="K58" t="str">
        <f t="shared" si="7"/>
        <v/>
      </c>
      <c r="L58" t="str">
        <f t="shared" si="7"/>
        <v/>
      </c>
      <c r="M58" t="str">
        <f t="shared" si="7"/>
        <v/>
      </c>
      <c r="N58" t="str">
        <f t="shared" si="7"/>
        <v/>
      </c>
      <c r="O58" t="str">
        <f t="shared" si="7"/>
        <v/>
      </c>
      <c r="P58" t="str">
        <f t="shared" si="7"/>
        <v>+</v>
      </c>
      <c r="Q58" t="str">
        <f t="shared" si="7"/>
        <v>+</v>
      </c>
      <c r="R58" t="str">
        <f t="shared" si="7"/>
        <v>+</v>
      </c>
      <c r="S58" t="str">
        <f t="shared" si="7"/>
        <v>+</v>
      </c>
      <c r="T58" t="str">
        <f t="shared" si="7"/>
        <v>+</v>
      </c>
      <c r="U58" t="str">
        <f t="shared" si="7"/>
        <v>+</v>
      </c>
      <c r="V58" t="str">
        <f t="shared" ref="V58:Y58" si="8">IF(V57&gt;0,"+","")</f>
        <v>+</v>
      </c>
      <c r="W58" t="str">
        <f t="shared" si="8"/>
        <v>+</v>
      </c>
      <c r="X58" t="str">
        <f t="shared" si="8"/>
        <v>+</v>
      </c>
      <c r="Y58" t="str">
        <f t="shared" si="8"/>
        <v>+</v>
      </c>
      <c r="Z58" s="16"/>
    </row>
    <row r="59" spans="1:27" ht="30" customHeight="1" x14ac:dyDescent="0.35">
      <c r="A59" s="33" t="s">
        <v>52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5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16"/>
    </row>
    <row r="60" spans="1:27" x14ac:dyDescent="0.35">
      <c r="A60" s="10" t="s">
        <v>53</v>
      </c>
      <c r="B60" s="12">
        <f t="shared" ref="B60:Y60" si="9">B54/(1+$B$7)^B16</f>
        <v>30406.11</v>
      </c>
      <c r="C60" s="12">
        <f t="shared" si="9"/>
        <v>37857.954716981127</v>
      </c>
      <c r="D60" s="12">
        <f t="shared" si="9"/>
        <v>37929.072519573863</v>
      </c>
      <c r="E60" s="12">
        <f t="shared" si="9"/>
        <v>278831.87772623275</v>
      </c>
      <c r="F60" s="12">
        <f t="shared" si="9"/>
        <v>51878.823678615838</v>
      </c>
      <c r="G60" s="12">
        <f t="shared" si="9"/>
        <v>43705.279156358054</v>
      </c>
      <c r="H60" s="12">
        <f t="shared" si="9"/>
        <v>41624.075387007673</v>
      </c>
      <c r="I60" s="12">
        <f t="shared" si="9"/>
        <v>39641.976559054921</v>
      </c>
      <c r="J60" s="12">
        <f t="shared" si="9"/>
        <v>37754.263389576125</v>
      </c>
      <c r="K60" s="12">
        <f t="shared" si="9"/>
        <v>35956.44132340583</v>
      </c>
      <c r="L60" s="12">
        <f t="shared" si="9"/>
        <v>34244.229831815072</v>
      </c>
      <c r="M60" s="12">
        <f t="shared" si="9"/>
        <v>32613.552220776259</v>
      </c>
      <c r="N60" s="12">
        <f t="shared" si="9"/>
        <v>31060.525924548823</v>
      </c>
      <c r="O60" s="12">
        <f t="shared" si="9"/>
        <v>29581.453261475064</v>
      </c>
      <c r="P60" s="12">
        <f t="shared" si="9"/>
        <v>28172.812629976259</v>
      </c>
      <c r="Q60" s="12">
        <f t="shared" si="9"/>
        <v>26831.250123786904</v>
      </c>
      <c r="R60" s="12">
        <f t="shared" si="9"/>
        <v>25553.571546463721</v>
      </c>
      <c r="S60" s="12">
        <f t="shared" si="9"/>
        <v>24336.734806155921</v>
      </c>
      <c r="T60" s="12">
        <f t="shared" si="9"/>
        <v>23177.842672529448</v>
      </c>
      <c r="U60" s="12">
        <f t="shared" si="9"/>
        <v>22074.135878599474</v>
      </c>
      <c r="V60" s="12">
        <f t="shared" si="9"/>
        <v>24971.280773624672</v>
      </c>
      <c r="W60" s="12">
        <f t="shared" si="9"/>
        <v>23040.615187126856</v>
      </c>
      <c r="X60" s="12">
        <f t="shared" si="9"/>
        <v>21237.198294187507</v>
      </c>
      <c r="Y60" s="12">
        <f t="shared" si="9"/>
        <v>17318.309655218745</v>
      </c>
      <c r="Z60" s="17">
        <f>SUM(B60:Y60)</f>
        <v>999799.38726309105</v>
      </c>
      <c r="AA60" t="s">
        <v>179</v>
      </c>
    </row>
    <row r="61" spans="1:27" x14ac:dyDescent="0.35">
      <c r="A61" s="10" t="s">
        <v>54</v>
      </c>
      <c r="B61" s="25">
        <f t="shared" ref="B61:Y61" si="10">B55/(1+$B$7)^B16</f>
        <v>0</v>
      </c>
      <c r="C61" s="12">
        <f t="shared" si="10"/>
        <v>0</v>
      </c>
      <c r="D61" s="12">
        <f t="shared" si="10"/>
        <v>0</v>
      </c>
      <c r="E61" s="12">
        <f t="shared" si="10"/>
        <v>0</v>
      </c>
      <c r="F61" s="12">
        <f t="shared" si="10"/>
        <v>79703.415757837531</v>
      </c>
      <c r="G61" s="12">
        <f t="shared" si="10"/>
        <v>75908.015007464302</v>
      </c>
      <c r="H61" s="12">
        <f t="shared" si="10"/>
        <v>72293.347626156494</v>
      </c>
      <c r="I61" s="12">
        <f t="shared" si="10"/>
        <v>68850.807263006165</v>
      </c>
      <c r="J61" s="12">
        <f t="shared" si="10"/>
        <v>65572.197393339215</v>
      </c>
      <c r="K61" s="12">
        <f t="shared" si="10"/>
        <v>62449.711803180202</v>
      </c>
      <c r="L61" s="12">
        <f t="shared" si="10"/>
        <v>59475.91600302876</v>
      </c>
      <c r="M61" s="12">
        <f t="shared" si="10"/>
        <v>56643.729526694056</v>
      </c>
      <c r="N61" s="12">
        <f t="shared" si="10"/>
        <v>53946.409073041963</v>
      </c>
      <c r="O61" s="12">
        <f t="shared" si="10"/>
        <v>51377.532450516148</v>
      </c>
      <c r="P61" s="12">
        <f t="shared" si="10"/>
        <v>48930.983286205868</v>
      </c>
      <c r="Q61" s="12">
        <f t="shared" si="10"/>
        <v>46600.936463053193</v>
      </c>
      <c r="R61" s="12">
        <f t="shared" si="10"/>
        <v>44381.844250526854</v>
      </c>
      <c r="S61" s="12">
        <f t="shared" si="10"/>
        <v>42268.423095739854</v>
      </c>
      <c r="T61" s="12">
        <f t="shared" si="10"/>
        <v>40255.641043561765</v>
      </c>
      <c r="U61" s="12">
        <f t="shared" si="10"/>
        <v>38338.70575577311</v>
      </c>
      <c r="V61" s="12">
        <f t="shared" si="10"/>
        <v>36513.053100736295</v>
      </c>
      <c r="W61" s="12">
        <f t="shared" si="10"/>
        <v>34774.336286415521</v>
      </c>
      <c r="X61" s="12">
        <f t="shared" si="10"/>
        <v>33118.415510871928</v>
      </c>
      <c r="Y61" s="12">
        <f t="shared" si="10"/>
        <v>31541.348105592308</v>
      </c>
      <c r="Z61" s="18">
        <f>SUM(B61:Y61)</f>
        <v>1042944.7688027417</v>
      </c>
      <c r="AA61" t="s">
        <v>55</v>
      </c>
    </row>
    <row r="62" spans="1:27" x14ac:dyDescent="0.35">
      <c r="A62" s="10"/>
      <c r="B62" s="3"/>
    </row>
    <row r="63" spans="1:27" x14ac:dyDescent="0.35">
      <c r="A63" s="32" t="s">
        <v>56</v>
      </c>
      <c r="B63" s="22">
        <f t="shared" ref="B63:Y63" si="11">B56/(1+$B$7)^B16</f>
        <v>-30406.11</v>
      </c>
      <c r="C63" s="22">
        <f t="shared" si="11"/>
        <v>-37857.954716981127</v>
      </c>
      <c r="D63" s="22">
        <f t="shared" si="11"/>
        <v>-37929.072519573863</v>
      </c>
      <c r="E63" s="22">
        <f t="shared" si="11"/>
        <v>-278831.87772623275</v>
      </c>
      <c r="F63" s="22">
        <f t="shared" si="11"/>
        <v>27824.592079221689</v>
      </c>
      <c r="G63" s="22">
        <f t="shared" si="11"/>
        <v>32202.735851106248</v>
      </c>
      <c r="H63" s="22">
        <f t="shared" si="11"/>
        <v>30669.27223914881</v>
      </c>
      <c r="I63" s="22">
        <f t="shared" si="11"/>
        <v>29208.830703951244</v>
      </c>
      <c r="J63" s="22">
        <f t="shared" si="11"/>
        <v>27817.934003763094</v>
      </c>
      <c r="K63" s="22">
        <f t="shared" si="11"/>
        <v>26493.270479774372</v>
      </c>
      <c r="L63" s="22">
        <f t="shared" si="11"/>
        <v>25231.686171213689</v>
      </c>
      <c r="M63" s="22">
        <f t="shared" si="11"/>
        <v>24030.177305917798</v>
      </c>
      <c r="N63" s="22">
        <f t="shared" si="11"/>
        <v>22885.883148493143</v>
      </c>
      <c r="O63" s="22">
        <f t="shared" si="11"/>
        <v>21796.079189041084</v>
      </c>
      <c r="P63" s="22">
        <f t="shared" si="11"/>
        <v>20758.170656229609</v>
      </c>
      <c r="Q63" s="22">
        <f t="shared" si="11"/>
        <v>19769.686339266289</v>
      </c>
      <c r="R63" s="22">
        <f t="shared" si="11"/>
        <v>18828.272704063133</v>
      </c>
      <c r="S63" s="22">
        <f t="shared" si="11"/>
        <v>17931.688289583934</v>
      </c>
      <c r="T63" s="22">
        <f t="shared" si="11"/>
        <v>17077.798371032317</v>
      </c>
      <c r="U63" s="22">
        <f t="shared" si="11"/>
        <v>16264.569877173637</v>
      </c>
      <c r="V63" s="22">
        <f t="shared" si="11"/>
        <v>11541.772327111625</v>
      </c>
      <c r="W63" s="22">
        <f t="shared" si="11"/>
        <v>11733.721099288668</v>
      </c>
      <c r="X63" s="22">
        <f t="shared" si="11"/>
        <v>11881.217216684423</v>
      </c>
      <c r="Y63" s="22">
        <f t="shared" si="11"/>
        <v>14223.038450373562</v>
      </c>
      <c r="Z63" s="27">
        <f>SUM(B63:Y63)</f>
        <v>43145.381539650603</v>
      </c>
      <c r="AA63" t="s">
        <v>57</v>
      </c>
    </row>
    <row r="64" spans="1:27" ht="35.5" customHeight="1" x14ac:dyDescent="0.45">
      <c r="A64" s="69" t="s">
        <v>58</v>
      </c>
      <c r="B64" s="28">
        <f>B63</f>
        <v>-30406.11</v>
      </c>
      <c r="C64" s="28">
        <f>B64+C63</f>
        <v>-68264.064716981127</v>
      </c>
      <c r="D64" s="28">
        <f>C64+D63</f>
        <v>-106193.13723655499</v>
      </c>
      <c r="E64" s="28">
        <f>D64+E63</f>
        <v>-385025.01496278774</v>
      </c>
      <c r="F64" s="28">
        <f>E64+F63</f>
        <v>-357200.42288356606</v>
      </c>
      <c r="G64" s="28">
        <f>F64+G63</f>
        <v>-324997.68703245983</v>
      </c>
      <c r="H64" s="28">
        <f t="shared" ref="H64:Y64" si="12">G64+H63</f>
        <v>-294328.41479331104</v>
      </c>
      <c r="I64" s="28">
        <f t="shared" si="12"/>
        <v>-265119.58408935979</v>
      </c>
      <c r="J64" s="28">
        <f t="shared" si="12"/>
        <v>-237301.65008559669</v>
      </c>
      <c r="K64" s="28">
        <f t="shared" si="12"/>
        <v>-210808.37960582232</v>
      </c>
      <c r="L64" s="28">
        <f t="shared" si="12"/>
        <v>-185576.69343460863</v>
      </c>
      <c r="M64" s="28">
        <f t="shared" si="12"/>
        <v>-161546.51612869083</v>
      </c>
      <c r="N64" s="28">
        <f>M64+N63</f>
        <v>-138660.63298019767</v>
      </c>
      <c r="O64" s="28">
        <f>N64+O63</f>
        <v>-116864.55379115659</v>
      </c>
      <c r="P64" s="28">
        <f t="shared" si="12"/>
        <v>-96106.383134926989</v>
      </c>
      <c r="Q64" s="28">
        <f t="shared" si="12"/>
        <v>-76336.696795660697</v>
      </c>
      <c r="R64" s="28">
        <f t="shared" si="12"/>
        <v>-57508.424091597568</v>
      </c>
      <c r="S64" s="28">
        <f t="shared" si="12"/>
        <v>-39576.735802013631</v>
      </c>
      <c r="T64" s="28">
        <f t="shared" si="12"/>
        <v>-22498.937430981314</v>
      </c>
      <c r="U64" s="28">
        <f t="shared" si="12"/>
        <v>-6234.3675538076768</v>
      </c>
      <c r="V64" s="28">
        <f t="shared" si="12"/>
        <v>5307.4047733039479</v>
      </c>
      <c r="W64" s="28">
        <f t="shared" si="12"/>
        <v>17041.125872592616</v>
      </c>
      <c r="X64" s="28">
        <f t="shared" si="12"/>
        <v>28922.343089277041</v>
      </c>
      <c r="Y64" s="28">
        <f t="shared" si="12"/>
        <v>43145.381539650603</v>
      </c>
      <c r="Z64" s="16"/>
    </row>
    <row r="65" spans="1:28" x14ac:dyDescent="0.35">
      <c r="A65" s="10" t="s">
        <v>59</v>
      </c>
      <c r="B65" t="str">
        <f t="shared" ref="B65:R65" si="13">IF(B64&gt;0,"+","")</f>
        <v/>
      </c>
      <c r="C65" t="str">
        <f t="shared" si="13"/>
        <v/>
      </c>
      <c r="D65" t="str">
        <f t="shared" si="13"/>
        <v/>
      </c>
      <c r="E65" t="str">
        <f t="shared" si="13"/>
        <v/>
      </c>
      <c r="F65" t="str">
        <f t="shared" si="13"/>
        <v/>
      </c>
      <c r="G65" t="str">
        <f t="shared" si="13"/>
        <v/>
      </c>
      <c r="H65" t="str">
        <f t="shared" si="13"/>
        <v/>
      </c>
      <c r="I65" t="str">
        <f t="shared" si="13"/>
        <v/>
      </c>
      <c r="J65" t="str">
        <f t="shared" si="13"/>
        <v/>
      </c>
      <c r="K65" t="str">
        <f t="shared" si="13"/>
        <v/>
      </c>
      <c r="L65" t="str">
        <f t="shared" si="13"/>
        <v/>
      </c>
      <c r="M65" t="str">
        <f t="shared" si="13"/>
        <v/>
      </c>
      <c r="N65" t="str">
        <f t="shared" si="13"/>
        <v/>
      </c>
      <c r="O65" t="str">
        <f t="shared" si="13"/>
        <v/>
      </c>
      <c r="P65" t="str">
        <f t="shared" si="13"/>
        <v/>
      </c>
      <c r="Q65" t="str">
        <f t="shared" si="13"/>
        <v/>
      </c>
      <c r="R65" t="str">
        <f t="shared" si="13"/>
        <v/>
      </c>
      <c r="S65" t="str">
        <f t="shared" ref="S65:Y65" si="14">IF(S64&gt;0,"+","")</f>
        <v/>
      </c>
      <c r="T65" t="str">
        <f t="shared" si="14"/>
        <v/>
      </c>
      <c r="U65" t="str">
        <f t="shared" si="14"/>
        <v/>
      </c>
      <c r="V65" t="str">
        <f t="shared" si="14"/>
        <v>+</v>
      </c>
      <c r="W65" t="str">
        <f t="shared" si="14"/>
        <v>+</v>
      </c>
      <c r="X65" t="str">
        <f t="shared" si="14"/>
        <v>+</v>
      </c>
      <c r="Y65" t="str">
        <f t="shared" si="14"/>
        <v>+</v>
      </c>
      <c r="AA65" s="3"/>
    </row>
    <row r="66" spans="1:28" x14ac:dyDescent="0.35">
      <c r="F66" s="15"/>
    </row>
    <row r="67" spans="1:28" x14ac:dyDescent="0.35">
      <c r="F67" s="3"/>
    </row>
    <row r="68" spans="1:28" ht="18.5" x14ac:dyDescent="0.45">
      <c r="A68" s="21"/>
      <c r="B68" s="21"/>
      <c r="C68" s="21"/>
      <c r="D68" s="21"/>
      <c r="E68" s="21"/>
      <c r="L68" s="21"/>
    </row>
    <row r="69" spans="1:28" ht="20" customHeight="1" x14ac:dyDescent="0.35">
      <c r="F69" s="19"/>
      <c r="L69" s="29"/>
      <c r="P69" s="19"/>
    </row>
    <row r="70" spans="1:28" ht="20" customHeight="1" x14ac:dyDescent="0.35">
      <c r="F70" s="19"/>
      <c r="L70" s="29"/>
      <c r="P70" s="19"/>
    </row>
    <row r="71" spans="1:28" ht="20" customHeight="1" x14ac:dyDescent="0.35">
      <c r="A71" s="29"/>
      <c r="B71" s="29"/>
      <c r="C71" s="29"/>
      <c r="D71" s="29"/>
      <c r="E71" s="29"/>
      <c r="F71" s="19"/>
      <c r="L71" s="29"/>
      <c r="P71" s="19"/>
      <c r="AB71" s="2"/>
    </row>
    <row r="72" spans="1:28" x14ac:dyDescent="0.35">
      <c r="F72" s="19"/>
      <c r="L72" s="29"/>
      <c r="P72" s="19"/>
    </row>
    <row r="75" spans="1:28" ht="18.5" x14ac:dyDescent="0.45">
      <c r="L75" s="29"/>
      <c r="P75" s="58"/>
      <c r="Q75" s="57"/>
    </row>
    <row r="76" spans="1:28" ht="18.5" x14ac:dyDescent="0.45">
      <c r="L76" s="29"/>
      <c r="P76" s="58"/>
      <c r="Q76" s="57"/>
    </row>
    <row r="77" spans="1:28" ht="18.5" x14ac:dyDescent="0.45">
      <c r="L77" s="29"/>
      <c r="P77" s="58"/>
      <c r="Q77" s="57"/>
    </row>
    <row r="78" spans="1:28" ht="18.5" x14ac:dyDescent="0.45">
      <c r="A78" s="4"/>
      <c r="B78" s="4"/>
      <c r="C78" s="4"/>
      <c r="D78" s="4"/>
      <c r="E78" s="4"/>
      <c r="G78" s="4"/>
      <c r="L78" s="3"/>
      <c r="P78" s="55"/>
      <c r="Q78" s="59"/>
    </row>
    <row r="79" spans="1:28" x14ac:dyDescent="0.35">
      <c r="P79" s="55"/>
      <c r="Q79" s="55"/>
    </row>
    <row r="80" spans="1:28" ht="32" customHeight="1" x14ac:dyDescent="0.45">
      <c r="A80" s="4"/>
      <c r="B80" s="4"/>
      <c r="C80" s="4"/>
      <c r="D80" s="4"/>
      <c r="E80" s="4"/>
      <c r="G80" s="4"/>
      <c r="H80" s="42"/>
      <c r="I80" s="4"/>
      <c r="P80" s="60"/>
      <c r="Q80" s="57"/>
      <c r="R80" s="42"/>
      <c r="S80" s="4"/>
      <c r="T80" s="29"/>
    </row>
    <row r="81" spans="1:19" ht="18.5" x14ac:dyDescent="0.45">
      <c r="A81" s="4"/>
      <c r="B81" s="4"/>
      <c r="C81" s="4"/>
      <c r="D81" s="4"/>
      <c r="E81" s="4"/>
      <c r="G81" s="4"/>
      <c r="P81" s="56"/>
      <c r="Q81" s="57"/>
    </row>
    <row r="82" spans="1:19" ht="18.5" x14ac:dyDescent="0.45">
      <c r="H82" s="42"/>
      <c r="I82" s="4"/>
      <c r="P82" s="39"/>
      <c r="Q82" s="4"/>
      <c r="R82" s="42"/>
      <c r="S82" s="4"/>
    </row>
    <row r="83" spans="1:19" ht="18.5" x14ac:dyDescent="0.45">
      <c r="F83" s="28"/>
      <c r="G83" s="4"/>
      <c r="H83" s="4"/>
      <c r="I83" s="4"/>
      <c r="P83" s="28"/>
      <c r="Q83" s="4"/>
      <c r="R83" s="4"/>
      <c r="S83" s="4"/>
    </row>
    <row r="87" spans="1:19" x14ac:dyDescent="0.35">
      <c r="A87" s="38"/>
      <c r="B87" s="38"/>
      <c r="C87" s="38"/>
      <c r="D87" s="38"/>
      <c r="E87" s="38"/>
    </row>
    <row r="88" spans="1:19" ht="10" customHeight="1" x14ac:dyDescent="0.35">
      <c r="A88" s="38"/>
      <c r="B88" s="38"/>
      <c r="C88" s="38"/>
      <c r="D88" s="38"/>
      <c r="E88" s="38"/>
    </row>
    <row r="89" spans="1:19" x14ac:dyDescent="0.35">
      <c r="A89" s="41"/>
      <c r="B89" s="41"/>
      <c r="C89" s="41"/>
      <c r="D89" s="41"/>
      <c r="E89" s="41"/>
    </row>
    <row r="90" spans="1:19" x14ac:dyDescent="0.35">
      <c r="A90" s="38"/>
      <c r="B90" s="38"/>
      <c r="C90" s="38"/>
      <c r="D90" s="38"/>
      <c r="E90" s="38"/>
    </row>
    <row r="97" ht="16.5" customHeight="1" x14ac:dyDescent="0.35"/>
    <row r="98" ht="13.5" customHeight="1" x14ac:dyDescent="0.35"/>
    <row r="99" ht="13.5" customHeight="1" x14ac:dyDescent="0.35"/>
    <row r="137" spans="6:6" ht="18.5" x14ac:dyDescent="0.45">
      <c r="F137" s="4"/>
    </row>
    <row r="144" spans="6:6" ht="18.5" x14ac:dyDescent="0.45">
      <c r="F144" s="4"/>
    </row>
    <row r="151" spans="1:5" ht="18.5" x14ac:dyDescent="0.45">
      <c r="A151" s="4"/>
      <c r="B151" s="4"/>
      <c r="C151" s="4"/>
      <c r="D151" s="4"/>
      <c r="E151" s="4"/>
    </row>
    <row r="156" spans="1:5" x14ac:dyDescent="0.35">
      <c r="A156" s="5"/>
      <c r="B156" s="5"/>
      <c r="C156" s="5"/>
      <c r="D156" s="5"/>
      <c r="E156" s="5"/>
    </row>
  </sheetData>
  <sheetProtection algorithmName="SHA-512" hashValue="YL0AjMCWByVLXZyiI0y1tkmnvRHCGxW64ygp/fCQI2xfdMEmOzhVWXRaiaLddLf+FhN+XGT7HfLbIwkgbvieGA==" saltValue="P+rxQcs4Pj0A67magJkK6g==" spinCount="100000" sheet="1"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orientation="portrait" r:id="rId1"/>
  <ignoredErrors>
    <ignoredError sqref="E38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04D77-7A09-4C2E-8AC1-440092C4856D}">
  <dimension ref="A1:Q69"/>
  <sheetViews>
    <sheetView zoomScale="115" zoomScaleNormal="115" workbookViewId="0">
      <selection activeCell="D1" sqref="D1"/>
    </sheetView>
  </sheetViews>
  <sheetFormatPr defaultRowHeight="14.5" x14ac:dyDescent="0.35"/>
  <cols>
    <col min="1" max="1" width="40.7265625" customWidth="1"/>
    <col min="2" max="2" width="16.90625" customWidth="1"/>
    <col min="3" max="3" width="26.453125" customWidth="1"/>
    <col min="4" max="4" width="85.54296875" customWidth="1"/>
    <col min="5" max="5" width="107.26953125" customWidth="1"/>
  </cols>
  <sheetData>
    <row r="1" spans="1:10" ht="23.5" x14ac:dyDescent="0.55000000000000004">
      <c r="A1" s="62" t="s">
        <v>169</v>
      </c>
    </row>
    <row r="3" spans="1:10" x14ac:dyDescent="0.35">
      <c r="A3" t="s">
        <v>132</v>
      </c>
      <c r="B3" t="s">
        <v>0</v>
      </c>
      <c r="C3" t="s">
        <v>3</v>
      </c>
      <c r="D3" t="s">
        <v>4</v>
      </c>
      <c r="E3" t="s">
        <v>68</v>
      </c>
    </row>
    <row r="4" spans="1:10" x14ac:dyDescent="0.35">
      <c r="A4" s="68" t="s">
        <v>5</v>
      </c>
      <c r="B4" s="43"/>
      <c r="C4" s="43"/>
      <c r="D4" s="43"/>
      <c r="E4" s="43"/>
    </row>
    <row r="5" spans="1:10" x14ac:dyDescent="0.35">
      <c r="A5" s="43" t="s">
        <v>6</v>
      </c>
      <c r="B5" s="44">
        <v>752.4</v>
      </c>
      <c r="C5" s="44" t="s">
        <v>7</v>
      </c>
      <c r="D5" s="6" t="s">
        <v>66</v>
      </c>
      <c r="E5" s="43"/>
    </row>
    <row r="6" spans="1:10" x14ac:dyDescent="0.35">
      <c r="A6" s="43" t="s">
        <v>8</v>
      </c>
      <c r="B6" s="43">
        <v>44</v>
      </c>
      <c r="C6" s="43" t="s">
        <v>2</v>
      </c>
      <c r="D6" s="43" t="s">
        <v>113</v>
      </c>
      <c r="E6" s="43" t="s">
        <v>9</v>
      </c>
    </row>
    <row r="7" spans="1:10" x14ac:dyDescent="0.35">
      <c r="A7" s="65" t="s">
        <v>10</v>
      </c>
      <c r="B7" s="44">
        <v>150.84</v>
      </c>
      <c r="C7" s="43" t="s">
        <v>11</v>
      </c>
      <c r="D7" s="43" t="s">
        <v>12</v>
      </c>
      <c r="E7" s="43" t="s">
        <v>13</v>
      </c>
    </row>
    <row r="8" spans="1:10" ht="29" x14ac:dyDescent="0.35">
      <c r="A8" s="66" t="s">
        <v>14</v>
      </c>
      <c r="B8" s="45">
        <f>6*25+100/1.5</f>
        <v>216.66666666666669</v>
      </c>
      <c r="C8" s="6" t="s">
        <v>168</v>
      </c>
      <c r="D8" s="6" t="s">
        <v>15</v>
      </c>
      <c r="E8" s="46" t="s">
        <v>63</v>
      </c>
      <c r="G8" s="8"/>
      <c r="H8" s="1"/>
      <c r="I8" s="1"/>
      <c r="J8" s="1"/>
    </row>
    <row r="9" spans="1:10" s="1" customFormat="1" ht="30.65" customHeight="1" x14ac:dyDescent="0.35">
      <c r="A9" s="65" t="s">
        <v>16</v>
      </c>
      <c r="B9" s="44">
        <v>762.75471698113211</v>
      </c>
      <c r="C9" s="44" t="s">
        <v>17</v>
      </c>
      <c r="D9" s="6" t="s">
        <v>64</v>
      </c>
      <c r="E9" s="43"/>
    </row>
    <row r="10" spans="1:10" x14ac:dyDescent="0.35">
      <c r="A10" s="65" t="s">
        <v>18</v>
      </c>
      <c r="B10" s="47">
        <v>271</v>
      </c>
      <c r="C10" s="44" t="s">
        <v>7</v>
      </c>
      <c r="D10" s="43" t="s">
        <v>19</v>
      </c>
      <c r="E10" s="43" t="s">
        <v>20</v>
      </c>
    </row>
    <row r="11" spans="1:10" x14ac:dyDescent="0.35">
      <c r="A11" s="67" t="s">
        <v>21</v>
      </c>
      <c r="B11" s="48"/>
      <c r="C11" s="49"/>
      <c r="D11" s="49"/>
      <c r="E11" s="43"/>
    </row>
    <row r="12" spans="1:10" x14ac:dyDescent="0.35">
      <c r="A12" s="65"/>
      <c r="B12" s="43"/>
      <c r="C12" s="43"/>
      <c r="D12" s="43"/>
      <c r="E12" s="43"/>
    </row>
    <row r="13" spans="1:10" x14ac:dyDescent="0.35">
      <c r="A13" s="68" t="s">
        <v>22</v>
      </c>
      <c r="B13" s="43"/>
      <c r="C13" s="43"/>
      <c r="D13" s="43"/>
      <c r="E13" s="43"/>
    </row>
    <row r="14" spans="1:10" x14ac:dyDescent="0.35">
      <c r="A14" s="50" t="s">
        <v>23</v>
      </c>
      <c r="B14" s="49">
        <v>1560</v>
      </c>
      <c r="C14" s="51" t="s">
        <v>7</v>
      </c>
      <c r="D14" s="52" t="s">
        <v>24</v>
      </c>
      <c r="E14" s="49" t="s">
        <v>25</v>
      </c>
    </row>
    <row r="15" spans="1:10" x14ac:dyDescent="0.35">
      <c r="A15" s="43" t="s">
        <v>26</v>
      </c>
      <c r="B15" s="44">
        <v>425</v>
      </c>
      <c r="C15" s="43" t="s">
        <v>168</v>
      </c>
      <c r="D15" s="43" t="s">
        <v>62</v>
      </c>
      <c r="E15" s="43"/>
    </row>
    <row r="16" spans="1:10" x14ac:dyDescent="0.35">
      <c r="A16" s="43" t="s">
        <v>27</v>
      </c>
      <c r="B16" s="43">
        <v>46</v>
      </c>
      <c r="C16" s="49" t="s">
        <v>2</v>
      </c>
      <c r="D16" s="43" t="s">
        <v>61</v>
      </c>
      <c r="E16" s="43"/>
    </row>
    <row r="17" spans="1:5" x14ac:dyDescent="0.35">
      <c r="A17" s="43"/>
      <c r="B17" s="43"/>
      <c r="C17" s="43"/>
      <c r="D17" s="43"/>
      <c r="E17" s="43"/>
    </row>
    <row r="18" spans="1:5" x14ac:dyDescent="0.35">
      <c r="A18" s="68" t="s">
        <v>28</v>
      </c>
      <c r="B18" s="43"/>
      <c r="C18" s="43"/>
      <c r="D18" s="43"/>
      <c r="E18" s="43"/>
    </row>
    <row r="19" spans="1:5" x14ac:dyDescent="0.35">
      <c r="A19" s="43" t="s">
        <v>65</v>
      </c>
      <c r="B19" s="44">
        <v>1006.4</v>
      </c>
      <c r="C19" s="51" t="s">
        <v>7</v>
      </c>
      <c r="D19" s="6" t="s">
        <v>115</v>
      </c>
      <c r="E19" s="47"/>
    </row>
    <row r="20" spans="1:5" ht="29" x14ac:dyDescent="0.35">
      <c r="A20" s="43" t="s">
        <v>119</v>
      </c>
      <c r="B20" s="44">
        <f>19.7*13.6*4</f>
        <v>1071.6799999999998</v>
      </c>
      <c r="C20" s="6" t="s">
        <v>120</v>
      </c>
      <c r="D20" s="6" t="s">
        <v>125</v>
      </c>
      <c r="E20" s="47"/>
    </row>
    <row r="21" spans="1:5" x14ac:dyDescent="0.35">
      <c r="A21" s="43" t="s">
        <v>114</v>
      </c>
      <c r="B21" s="44">
        <v>1200</v>
      </c>
      <c r="C21" s="51" t="s">
        <v>118</v>
      </c>
      <c r="D21" s="47" t="s">
        <v>117</v>
      </c>
      <c r="E21" s="43"/>
    </row>
    <row r="22" spans="1:5" ht="29" x14ac:dyDescent="0.35">
      <c r="A22" s="43" t="s">
        <v>29</v>
      </c>
      <c r="B22" s="44">
        <v>762.75471698113211</v>
      </c>
      <c r="C22" s="75" t="s">
        <v>17</v>
      </c>
      <c r="D22" s="6" t="s">
        <v>71</v>
      </c>
      <c r="E22" s="43"/>
    </row>
    <row r="23" spans="1:5" x14ac:dyDescent="0.35">
      <c r="A23" s="43"/>
      <c r="B23" s="44"/>
      <c r="C23" s="44"/>
      <c r="D23" s="43"/>
      <c r="E23" s="43"/>
    </row>
    <row r="24" spans="1:5" x14ac:dyDescent="0.35">
      <c r="A24" s="68" t="s">
        <v>30</v>
      </c>
      <c r="B24" s="43"/>
      <c r="C24" s="43"/>
      <c r="D24" s="43"/>
      <c r="E24" s="43"/>
    </row>
    <row r="25" spans="1:5" x14ac:dyDescent="0.35">
      <c r="A25" s="7" t="s">
        <v>31</v>
      </c>
      <c r="B25" s="53">
        <v>1164</v>
      </c>
      <c r="C25" s="49" t="s">
        <v>2</v>
      </c>
      <c r="D25" s="6" t="s">
        <v>1</v>
      </c>
      <c r="E25" s="43"/>
    </row>
    <row r="26" spans="1:5" x14ac:dyDescent="0.35">
      <c r="A26" s="43"/>
      <c r="B26" s="43"/>
      <c r="C26" s="43"/>
      <c r="D26" s="43"/>
      <c r="E26" s="43"/>
    </row>
    <row r="27" spans="1:5" x14ac:dyDescent="0.35">
      <c r="A27" s="68" t="s">
        <v>32</v>
      </c>
      <c r="B27" s="43"/>
      <c r="C27" s="43"/>
      <c r="D27" s="43"/>
      <c r="E27" s="43"/>
    </row>
    <row r="28" spans="1:5" x14ac:dyDescent="0.35">
      <c r="A28" t="s">
        <v>69</v>
      </c>
      <c r="B28" s="54">
        <v>229.55</v>
      </c>
      <c r="C28" s="51" t="s">
        <v>7</v>
      </c>
      <c r="D28" s="43" t="s">
        <v>70</v>
      </c>
      <c r="E28" s="43"/>
    </row>
    <row r="29" spans="1:5" x14ac:dyDescent="0.35">
      <c r="A29" s="43"/>
      <c r="B29" s="54"/>
      <c r="C29" s="44"/>
      <c r="D29" s="43"/>
      <c r="E29" s="43"/>
    </row>
    <row r="30" spans="1:5" x14ac:dyDescent="0.35">
      <c r="A30" s="68" t="s">
        <v>126</v>
      </c>
      <c r="B30" s="43"/>
      <c r="C30" s="43"/>
      <c r="D30" s="43"/>
      <c r="E30" s="43"/>
    </row>
    <row r="31" spans="1:5" ht="15.5" x14ac:dyDescent="0.35">
      <c r="A31" s="43" t="s">
        <v>127</v>
      </c>
      <c r="B31" s="44">
        <f>8788.82681564246/9</f>
        <v>976.53631284916219</v>
      </c>
      <c r="C31" s="51" t="s">
        <v>7</v>
      </c>
      <c r="D31" s="40" t="s">
        <v>131</v>
      </c>
      <c r="E31" s="43"/>
    </row>
    <row r="32" spans="1:5" ht="15.5" x14ac:dyDescent="0.35">
      <c r="A32" s="43"/>
      <c r="B32" s="44"/>
      <c r="C32" s="44"/>
      <c r="D32" s="74"/>
      <c r="E32" s="43"/>
    </row>
    <row r="33" spans="1:5" x14ac:dyDescent="0.35">
      <c r="A33" s="68" t="s">
        <v>116</v>
      </c>
      <c r="B33" s="43"/>
      <c r="C33" s="43"/>
      <c r="D33" s="43"/>
      <c r="E33" s="43"/>
    </row>
    <row r="34" spans="1:5" ht="15.5" x14ac:dyDescent="0.35">
      <c r="A34" s="43" t="s">
        <v>128</v>
      </c>
      <c r="B34" s="44">
        <f>2990.7027027027/9</f>
        <v>332.30030030030002</v>
      </c>
      <c r="C34" s="43" t="s">
        <v>129</v>
      </c>
      <c r="D34" s="40" t="s">
        <v>130</v>
      </c>
      <c r="E34" s="43"/>
    </row>
    <row r="36" spans="1:5" x14ac:dyDescent="0.35">
      <c r="A36" t="s">
        <v>133</v>
      </c>
      <c r="B36" t="s">
        <v>82</v>
      </c>
      <c r="C36" t="s">
        <v>3</v>
      </c>
      <c r="D36" t="s">
        <v>4</v>
      </c>
      <c r="E36" t="s">
        <v>147</v>
      </c>
    </row>
    <row r="37" spans="1:5" x14ac:dyDescent="0.35">
      <c r="A37" t="s">
        <v>134</v>
      </c>
      <c r="B37" s="73">
        <v>108900</v>
      </c>
      <c r="C37" t="s">
        <v>135</v>
      </c>
      <c r="D37" t="s">
        <v>152</v>
      </c>
    </row>
    <row r="38" spans="1:5" x14ac:dyDescent="0.35">
      <c r="A38" t="s">
        <v>148</v>
      </c>
      <c r="B38" s="73">
        <v>15000</v>
      </c>
      <c r="C38" t="s">
        <v>135</v>
      </c>
      <c r="D38" t="s">
        <v>150</v>
      </c>
    </row>
    <row r="39" spans="1:5" x14ac:dyDescent="0.35">
      <c r="A39" t="s">
        <v>149</v>
      </c>
      <c r="B39" s="73">
        <v>15000</v>
      </c>
      <c r="C39" t="s">
        <v>135</v>
      </c>
      <c r="D39" t="s">
        <v>151</v>
      </c>
    </row>
    <row r="40" spans="1:5" x14ac:dyDescent="0.35">
      <c r="A40" t="s">
        <v>136</v>
      </c>
      <c r="B40" s="73">
        <v>120000</v>
      </c>
      <c r="C40" t="s">
        <v>135</v>
      </c>
    </row>
    <row r="41" spans="1:5" x14ac:dyDescent="0.35">
      <c r="A41" t="s">
        <v>137</v>
      </c>
      <c r="B41" s="73">
        <v>20000</v>
      </c>
      <c r="C41" t="s">
        <v>138</v>
      </c>
    </row>
    <row r="42" spans="1:5" x14ac:dyDescent="0.35">
      <c r="A42" t="s">
        <v>139</v>
      </c>
      <c r="B42" s="73">
        <v>7500</v>
      </c>
      <c r="C42" t="s">
        <v>140</v>
      </c>
      <c r="D42" t="s">
        <v>141</v>
      </c>
    </row>
    <row r="43" spans="1:5" x14ac:dyDescent="0.35">
      <c r="A43" t="s">
        <v>142</v>
      </c>
      <c r="B43" s="73">
        <v>3360</v>
      </c>
      <c r="C43" t="s">
        <v>143</v>
      </c>
      <c r="D43" t="s">
        <v>144</v>
      </c>
    </row>
    <row r="44" spans="1:5" x14ac:dyDescent="0.35">
      <c r="A44" t="s">
        <v>145</v>
      </c>
      <c r="B44" s="73">
        <v>8367</v>
      </c>
      <c r="C44" t="s">
        <v>138</v>
      </c>
      <c r="D44" t="s">
        <v>146</v>
      </c>
    </row>
    <row r="47" spans="1:5" x14ac:dyDescent="0.35">
      <c r="A47" t="s">
        <v>167</v>
      </c>
    </row>
    <row r="48" spans="1:5" x14ac:dyDescent="0.35">
      <c r="A48" t="s">
        <v>159</v>
      </c>
    </row>
    <row r="49" spans="1:1" x14ac:dyDescent="0.35">
      <c r="A49" t="s">
        <v>160</v>
      </c>
    </row>
    <row r="50" spans="1:1" x14ac:dyDescent="0.35">
      <c r="A50" t="s">
        <v>161</v>
      </c>
    </row>
    <row r="51" spans="1:1" x14ac:dyDescent="0.35">
      <c r="A51" t="s">
        <v>162</v>
      </c>
    </row>
    <row r="52" spans="1:1" x14ac:dyDescent="0.35">
      <c r="A52" t="s">
        <v>163</v>
      </c>
    </row>
    <row r="53" spans="1:1" x14ac:dyDescent="0.35">
      <c r="A53" t="s">
        <v>164</v>
      </c>
    </row>
    <row r="54" spans="1:1" x14ac:dyDescent="0.35">
      <c r="A54" t="s">
        <v>165</v>
      </c>
    </row>
    <row r="55" spans="1:1" x14ac:dyDescent="0.35">
      <c r="A55" t="s">
        <v>166</v>
      </c>
    </row>
    <row r="69" spans="17:17" x14ac:dyDescent="0.35">
      <c r="Q69">
        <f>Lähtötiedot_kustannukset!B6</f>
        <v>44</v>
      </c>
    </row>
  </sheetData>
  <phoneticPr fontId="6" type="noConversion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03F43-FA83-40D6-A0F6-08DED6637EE2}">
  <dimension ref="A1:F20"/>
  <sheetViews>
    <sheetView workbookViewId="0">
      <selection activeCell="B29" sqref="B29"/>
    </sheetView>
  </sheetViews>
  <sheetFormatPr defaultRowHeight="14.5" x14ac:dyDescent="0.35"/>
  <cols>
    <col min="1" max="1" width="75.08984375" bestFit="1" customWidth="1"/>
    <col min="2" max="2" width="33.81640625" customWidth="1"/>
    <col min="3" max="3" width="18.7265625" customWidth="1"/>
    <col min="4" max="4" width="45.453125" customWidth="1"/>
    <col min="5" max="5" width="21.453125" customWidth="1"/>
    <col min="6" max="6" width="81.90625" customWidth="1"/>
  </cols>
  <sheetData>
    <row r="1" spans="1:6" ht="33.5" customHeight="1" x14ac:dyDescent="0.55000000000000004">
      <c r="A1" s="62" t="s">
        <v>169</v>
      </c>
    </row>
    <row r="2" spans="1:6" s="40" customFormat="1" ht="16" customHeight="1" x14ac:dyDescent="0.35"/>
    <row r="3" spans="1:6" s="40" customFormat="1" ht="16" customHeight="1" x14ac:dyDescent="0.35">
      <c r="A3" s="40" t="s">
        <v>106</v>
      </c>
      <c r="B3" s="40" t="s">
        <v>90</v>
      </c>
    </row>
    <row r="4" spans="1:6" s="40" customFormat="1" ht="16" customHeight="1" x14ac:dyDescent="0.35"/>
    <row r="5" spans="1:6" ht="15.5" x14ac:dyDescent="0.35">
      <c r="A5" s="40" t="s">
        <v>34</v>
      </c>
      <c r="B5" s="40" t="s">
        <v>100</v>
      </c>
      <c r="C5" s="40" t="s">
        <v>101</v>
      </c>
      <c r="D5" s="40" t="s">
        <v>102</v>
      </c>
      <c r="E5" s="40" t="s">
        <v>74</v>
      </c>
      <c r="F5" s="40" t="s">
        <v>81</v>
      </c>
    </row>
    <row r="6" spans="1:6" s="40" customFormat="1" ht="16" customHeight="1" x14ac:dyDescent="0.35">
      <c r="A6" s="40" t="s">
        <v>103</v>
      </c>
      <c r="B6" s="40">
        <v>800</v>
      </c>
      <c r="C6" s="40">
        <f>B14</f>
        <v>56</v>
      </c>
      <c r="D6" s="40">
        <f>B6*C6</f>
        <v>44800</v>
      </c>
      <c r="E6" s="40" t="s">
        <v>82</v>
      </c>
    </row>
    <row r="7" spans="1:6" s="40" customFormat="1" ht="16" customHeight="1" x14ac:dyDescent="0.35">
      <c r="A7" s="40" t="s">
        <v>104</v>
      </c>
      <c r="B7" s="40">
        <v>0.1</v>
      </c>
      <c r="C7" s="40">
        <f>B12*63</f>
        <v>504000</v>
      </c>
      <c r="D7" s="40">
        <f>B7*C7*0.6</f>
        <v>30240</v>
      </c>
      <c r="E7" s="40" t="s">
        <v>82</v>
      </c>
      <c r="F7" s="40" t="s">
        <v>105</v>
      </c>
    </row>
    <row r="8" spans="1:6" s="40" customFormat="1" ht="16" customHeight="1" x14ac:dyDescent="0.35">
      <c r="A8" s="40" t="s">
        <v>79</v>
      </c>
      <c r="B8" s="40">
        <v>130</v>
      </c>
      <c r="C8" s="40">
        <f>3*C6</f>
        <v>168</v>
      </c>
      <c r="D8" s="40">
        <f>B8*C8</f>
        <v>21840</v>
      </c>
      <c r="E8" s="40" t="s">
        <v>82</v>
      </c>
      <c r="F8" s="40" t="s">
        <v>158</v>
      </c>
    </row>
    <row r="9" spans="1:6" s="40" customFormat="1" ht="16" customHeight="1" x14ac:dyDescent="0.35"/>
    <row r="11" spans="1:6" ht="15.5" x14ac:dyDescent="0.35">
      <c r="A11" s="40" t="s">
        <v>157</v>
      </c>
      <c r="B11" s="40" t="s">
        <v>73</v>
      </c>
      <c r="C11" s="40" t="s">
        <v>74</v>
      </c>
      <c r="D11" s="40" t="s">
        <v>81</v>
      </c>
    </row>
    <row r="12" spans="1:6" ht="15.5" x14ac:dyDescent="0.35">
      <c r="A12" s="40" t="s">
        <v>92</v>
      </c>
      <c r="B12" s="40">
        <v>8000</v>
      </c>
      <c r="C12" s="40" t="s">
        <v>93</v>
      </c>
      <c r="D12" s="40" t="s">
        <v>155</v>
      </c>
    </row>
    <row r="13" spans="1:6" ht="15.5" x14ac:dyDescent="0.35">
      <c r="A13" s="40" t="s">
        <v>96</v>
      </c>
      <c r="B13" s="40">
        <v>7</v>
      </c>
      <c r="C13" s="40" t="s">
        <v>91</v>
      </c>
      <c r="D13" s="40" t="s">
        <v>156</v>
      </c>
    </row>
    <row r="14" spans="1:6" ht="15.5" x14ac:dyDescent="0.35">
      <c r="A14" s="40" t="s">
        <v>97</v>
      </c>
      <c r="B14" s="40">
        <f>B13*B12/1000</f>
        <v>56</v>
      </c>
      <c r="C14" s="40" t="s">
        <v>83</v>
      </c>
      <c r="D14" s="40"/>
    </row>
    <row r="15" spans="1:6" ht="15.5" x14ac:dyDescent="0.35">
      <c r="A15" s="40" t="s">
        <v>110</v>
      </c>
      <c r="B15" s="40">
        <v>38</v>
      </c>
      <c r="C15" s="40" t="s">
        <v>91</v>
      </c>
      <c r="D15" s="40" t="s">
        <v>108</v>
      </c>
    </row>
    <row r="16" spans="1:6" ht="15.5" x14ac:dyDescent="0.35">
      <c r="A16" s="63" t="s">
        <v>111</v>
      </c>
      <c r="B16" s="40">
        <f>B15*0.8</f>
        <v>30.400000000000002</v>
      </c>
      <c r="C16" s="40" t="s">
        <v>91</v>
      </c>
      <c r="D16" s="40" t="s">
        <v>107</v>
      </c>
    </row>
    <row r="17" spans="1:4" ht="31" x14ac:dyDescent="0.35">
      <c r="A17" s="40" t="s">
        <v>112</v>
      </c>
      <c r="B17" s="40">
        <f>B16*B12/1000</f>
        <v>243.20000000000002</v>
      </c>
      <c r="C17" s="40" t="s">
        <v>94</v>
      </c>
      <c r="D17" s="70" t="s">
        <v>153</v>
      </c>
    </row>
    <row r="18" spans="1:4" ht="15.5" x14ac:dyDescent="0.35">
      <c r="A18" s="40" t="s">
        <v>154</v>
      </c>
      <c r="B18" s="40">
        <v>6.8</v>
      </c>
      <c r="C18" s="40" t="s">
        <v>89</v>
      </c>
      <c r="D18" s="40"/>
    </row>
    <row r="19" spans="1:4" ht="15.5" x14ac:dyDescent="0.35">
      <c r="A19" s="40" t="s">
        <v>95</v>
      </c>
      <c r="B19" s="64">
        <f>B17/B18</f>
        <v>35.764705882352942</v>
      </c>
      <c r="C19" s="40" t="s">
        <v>80</v>
      </c>
      <c r="D19" s="40"/>
    </row>
    <row r="20" spans="1:4" ht="15.5" x14ac:dyDescent="0.35">
      <c r="A20" s="40" t="s">
        <v>98</v>
      </c>
      <c r="B20" s="40">
        <v>63</v>
      </c>
      <c r="C20" s="40" t="s">
        <v>99</v>
      </c>
      <c r="D20" s="40" t="s">
        <v>90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4BBB979005734498098A7DFC811C06F" ma:contentTypeVersion="13" ma:contentTypeDescription="Luo uusi asiakirja." ma:contentTypeScope="" ma:versionID="f39088c465e061e056fa3515176ed768">
  <xsd:schema xmlns:xsd="http://www.w3.org/2001/XMLSchema" xmlns:xs="http://www.w3.org/2001/XMLSchema" xmlns:p="http://schemas.microsoft.com/office/2006/metadata/properties" xmlns:ns2="daae9131-4000-4728-bddc-908f8615d2f8" xmlns:ns3="4a8e9d7e-bebb-41a3-a9bb-02d1a0b554f4" targetNamespace="http://schemas.microsoft.com/office/2006/metadata/properties" ma:root="true" ma:fieldsID="7e09fa17b651b30572d86459e05d9e7e" ns2:_="" ns3:_="">
    <xsd:import namespace="daae9131-4000-4728-bddc-908f8615d2f8"/>
    <xsd:import namespace="4a8e9d7e-bebb-41a3-a9bb-02d1a0b554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e9131-4000-4728-bddc-908f8615d2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b01726c3-d2e9-4678-ba3a-dcee94d8f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e9d7e-bebb-41a3-a9bb-02d1a0b554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3992583-3e33-4420-a5f9-9f99120bb9ff}" ma:internalName="TaxCatchAll" ma:showField="CatchAllData" ma:web="4a8e9d7e-bebb-41a3-a9bb-02d1a0b554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ae9131-4000-4728-bddc-908f8615d2f8">
      <Terms xmlns="http://schemas.microsoft.com/office/infopath/2007/PartnerControls"/>
    </lcf76f155ced4ddcb4097134ff3c332f>
    <TaxCatchAll xmlns="4a8e9d7e-bebb-41a3-a9bb-02d1a0b554f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F14587-F82F-4B0F-BE44-222BDE7774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ae9131-4000-4728-bddc-908f8615d2f8"/>
    <ds:schemaRef ds:uri="4a8e9d7e-bebb-41a3-a9bb-02d1a0b554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C89EF4-7870-4D3A-820D-CD094EE02330}">
  <ds:schemaRefs>
    <ds:schemaRef ds:uri="http://schemas.microsoft.com/office/2006/metadata/properties"/>
    <ds:schemaRef ds:uri="http://schemas.microsoft.com/office/infopath/2007/PartnerControls"/>
    <ds:schemaRef ds:uri="daae9131-4000-4728-bddc-908f8615d2f8"/>
    <ds:schemaRef ds:uri="4a8e9d7e-bebb-41a3-a9bb-02d1a0b554f4"/>
  </ds:schemaRefs>
</ds:datastoreItem>
</file>

<file path=customXml/itemProps3.xml><?xml version="1.0" encoding="utf-8"?>
<ds:datastoreItem xmlns:ds="http://schemas.openxmlformats.org/officeDocument/2006/customXml" ds:itemID="{47A7E2E5-37FB-435A-B730-CCFA45B186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Kaaviot</vt:lpstr>
      </vt:variant>
      <vt:variant>
        <vt:i4>1</vt:i4>
      </vt:variant>
    </vt:vector>
  </HeadingPairs>
  <TitlesOfParts>
    <vt:vector size="5" baseType="lpstr">
      <vt:lpstr>Ohje työkirjan käyttöön</vt:lpstr>
      <vt:lpstr>Biohiili_kassavirta</vt:lpstr>
      <vt:lpstr>Lähtötiedot_kustannukset</vt:lpstr>
      <vt:lpstr>Lähtötiedot_tuotot</vt:lpstr>
      <vt:lpstr>Kaavio1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Katri Juva</cp:lastModifiedBy>
  <cp:revision/>
  <dcterms:created xsi:type="dcterms:W3CDTF">2026-01-22T11:08:45Z</dcterms:created>
  <dcterms:modified xsi:type="dcterms:W3CDTF">2026-10-07T12:00:15Z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0x01010024BBB979005734498098A7DFC811C06F</vt:lpwstr>
  </property>
  <property fmtid="{D5CDD505-2E9C-101B-9397-08002B2CF9AE}" pid="3" name="MediaServiceImageTags">
    <vt:lpwstr/>
  </property>
</Properties>
</file>