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atafood.sharepoint.com/sites/Pajuarvoketjuistauuttaliiketoimintaa/Jaetut asiakirjat/Tuotokset ja julkaisut/Kannattavuuslaskelmat/"/>
    </mc:Choice>
  </mc:AlternateContent>
  <xr:revisionPtr revIDLastSave="406" documentId="8_{55141D99-7676-4021-8CE7-67175B2A140B}" xr6:coauthVersionLast="47" xr6:coauthVersionMax="47" xr10:uidLastSave="{FC3B1DA3-23E0-4FED-92AA-D81135DCC917}"/>
  <bookViews>
    <workbookView xWindow="-38520" yWindow="-120" windowWidth="38640" windowHeight="21120" tabRatio="799" xr2:uid="{00000000-000D-0000-FFFF-FFFF00000000}"/>
  </bookViews>
  <sheets>
    <sheet name="Ohje työkirjan käyttöön" sheetId="23" r:id="rId1"/>
    <sheet name="Kassavirta_paju-apilakomposti" sheetId="21" r:id="rId2"/>
    <sheet name="Kaavio1" sheetId="22" r:id="rId3"/>
    <sheet name="Lähtötiedot_kustannukset" sheetId="3" r:id="rId4"/>
    <sheet name="Lähtötiedot_tuotot" sheetId="20"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45" i="3" l="1"/>
  <c r="D4" i="20"/>
  <c r="B12" i="3"/>
  <c r="Y40" i="21"/>
  <c r="X40" i="21"/>
  <c r="W40" i="21"/>
  <c r="V40" i="21"/>
  <c r="U40" i="21"/>
  <c r="T40" i="21"/>
  <c r="S40" i="21"/>
  <c r="R40" i="21"/>
  <c r="Q40" i="21"/>
  <c r="P40" i="21"/>
  <c r="O40" i="21"/>
  <c r="N40" i="21"/>
  <c r="M40" i="21"/>
  <c r="L40" i="21"/>
  <c r="K40" i="21"/>
  <c r="J40" i="21"/>
  <c r="I40" i="21"/>
  <c r="H40" i="21"/>
  <c r="G40" i="21"/>
  <c r="F40" i="21"/>
  <c r="Y38" i="21"/>
  <c r="X38" i="21"/>
  <c r="W38" i="21"/>
  <c r="V38" i="21"/>
  <c r="U38" i="21"/>
  <c r="T38" i="21"/>
  <c r="S38" i="21"/>
  <c r="R38" i="21"/>
  <c r="Q38" i="21"/>
  <c r="P38" i="21"/>
  <c r="O38" i="21"/>
  <c r="N38" i="21"/>
  <c r="M38" i="21"/>
  <c r="L38" i="21"/>
  <c r="K38" i="21"/>
  <c r="J38" i="21"/>
  <c r="I38" i="21"/>
  <c r="H38" i="21"/>
  <c r="G38" i="21"/>
  <c r="F38" i="21"/>
  <c r="B8" i="3"/>
  <c r="B9" i="3" s="1"/>
  <c r="B10" i="3" s="1"/>
  <c r="B44" i="3"/>
  <c r="B11" i="3" l="1"/>
  <c r="O33" i="21"/>
  <c r="S33" i="21"/>
  <c r="U33" i="21"/>
  <c r="R33" i="21"/>
  <c r="N33" i="21"/>
  <c r="Q33" i="21"/>
  <c r="I33" i="21"/>
  <c r="E33" i="21"/>
  <c r="J33" i="21"/>
  <c r="F33" i="21"/>
  <c r="P33" i="21"/>
  <c r="T33" i="21"/>
  <c r="M33" i="21"/>
  <c r="H33" i="21"/>
  <c r="V33" i="21"/>
  <c r="L33" i="21"/>
  <c r="G33" i="21"/>
  <c r="K33" i="21"/>
  <c r="F37" i="21"/>
  <c r="V37" i="21"/>
  <c r="S37" i="21"/>
  <c r="R37" i="21"/>
  <c r="T37" i="21"/>
  <c r="N37" i="21"/>
  <c r="M37" i="21"/>
  <c r="W37" i="21"/>
  <c r="X37" i="21"/>
  <c r="Y37" i="21"/>
  <c r="U37" i="21"/>
  <c r="Q37" i="21"/>
  <c r="P37" i="21"/>
  <c r="L37" i="21"/>
  <c r="K37" i="21"/>
  <c r="J37" i="21"/>
  <c r="I37" i="21"/>
  <c r="H37" i="21"/>
  <c r="G37" i="21"/>
  <c r="O37" i="21"/>
  <c r="Q35" i="21"/>
  <c r="O35" i="21"/>
  <c r="I35" i="21"/>
  <c r="F35" i="21"/>
  <c r="U35" i="21"/>
  <c r="M35" i="21"/>
  <c r="J35" i="21"/>
  <c r="G35" i="21"/>
  <c r="P35" i="21"/>
  <c r="L35" i="21"/>
  <c r="H35" i="21"/>
  <c r="K35" i="21"/>
  <c r="N35" i="21"/>
  <c r="T35" i="21"/>
  <c r="V35" i="21"/>
  <c r="Y35" i="21"/>
  <c r="X35" i="21"/>
  <c r="W35" i="21"/>
  <c r="S35" i="21"/>
  <c r="R35" i="21"/>
  <c r="Y43" i="21"/>
  <c r="G28" i="21" l="1"/>
  <c r="K28" i="21"/>
  <c r="O28" i="21"/>
  <c r="S28" i="21"/>
  <c r="X28" i="21"/>
  <c r="H29" i="21"/>
  <c r="E20" i="21"/>
  <c r="P29" i="21"/>
  <c r="S29" i="21"/>
  <c r="W29" i="21"/>
  <c r="X31" i="21"/>
  <c r="C33" i="21"/>
  <c r="W33" i="21"/>
  <c r="L29" i="21"/>
  <c r="B19" i="21"/>
  <c r="C20" i="21"/>
  <c r="C21" i="21"/>
  <c r="B24" i="21"/>
  <c r="B25" i="21"/>
  <c r="E25" i="21"/>
  <c r="F28" i="21"/>
  <c r="I28" i="21"/>
  <c r="L28" i="21"/>
  <c r="Q28" i="21"/>
  <c r="T28" i="21"/>
  <c r="I29" i="21"/>
  <c r="O29" i="21"/>
  <c r="V29" i="21"/>
  <c r="Y31" i="21"/>
  <c r="W28" i="21"/>
  <c r="D19" i="21"/>
  <c r="E21" i="21"/>
  <c r="D24" i="21"/>
  <c r="D26" i="21"/>
  <c r="J28" i="21"/>
  <c r="N28" i="21"/>
  <c r="V28" i="21"/>
  <c r="F29" i="21"/>
  <c r="J29" i="21"/>
  <c r="N29" i="21"/>
  <c r="R29" i="21"/>
  <c r="U29" i="21"/>
  <c r="V31" i="21"/>
  <c r="B33" i="21"/>
  <c r="F22" i="21"/>
  <c r="D18" i="21"/>
  <c r="B20" i="21"/>
  <c r="B21" i="21"/>
  <c r="D22" i="21"/>
  <c r="E24" i="21"/>
  <c r="F26" i="21"/>
  <c r="P28" i="21"/>
  <c r="B18" i="21"/>
  <c r="G29" i="21"/>
  <c r="M29" i="21"/>
  <c r="T29" i="21"/>
  <c r="W31" i="21"/>
  <c r="D33" i="21"/>
  <c r="Y33" i="21"/>
  <c r="E18" i="21"/>
  <c r="E19" i="21"/>
  <c r="D20" i="21"/>
  <c r="D21" i="21"/>
  <c r="E22" i="21"/>
  <c r="C18" i="21"/>
  <c r="C19" i="21"/>
  <c r="U28" i="21"/>
  <c r="C25" i="21"/>
  <c r="E26" i="21"/>
  <c r="H28" i="21"/>
  <c r="M28" i="21"/>
  <c r="R28" i="21"/>
  <c r="Y28" i="21"/>
  <c r="K29" i="21"/>
  <c r="Q29" i="21"/>
  <c r="X29" i="21"/>
  <c r="X33" i="21"/>
  <c r="C24" i="21"/>
  <c r="D25" i="21"/>
  <c r="C26" i="21"/>
  <c r="C22" i="21"/>
  <c r="P43" i="21"/>
  <c r="J43" i="21"/>
  <c r="L43" i="21"/>
  <c r="Q43" i="21"/>
  <c r="H43" i="21"/>
  <c r="I43" i="21"/>
  <c r="K43" i="21"/>
  <c r="M43" i="21"/>
  <c r="U43" i="21"/>
  <c r="R43" i="21"/>
  <c r="N43" i="21"/>
  <c r="O43" i="21"/>
  <c r="S43" i="21"/>
  <c r="T43" i="21"/>
  <c r="V43" i="21"/>
  <c r="F43" i="21"/>
  <c r="G43" i="21"/>
  <c r="W43" i="21"/>
  <c r="X43" i="21"/>
  <c r="B50" i="21"/>
  <c r="E50" i="21"/>
  <c r="E56" i="21" s="1"/>
  <c r="D50" i="21"/>
  <c r="D56" i="21" s="1"/>
  <c r="C50" i="21"/>
  <c r="C56" i="21" s="1"/>
  <c r="B56" i="21" l="1"/>
  <c r="Y49" i="21" l="1"/>
  <c r="Y55" i="21" s="1"/>
  <c r="R82" i="3" l="1"/>
  <c r="B49" i="21" l="1"/>
  <c r="B52" i="21"/>
  <c r="B51" i="21"/>
  <c r="B58" i="21" s="1"/>
  <c r="B59" i="21" s="1"/>
  <c r="H50" i="21"/>
  <c r="H56" i="21" s="1"/>
  <c r="I50" i="21"/>
  <c r="I56" i="21" s="1"/>
  <c r="G50" i="21"/>
  <c r="G56" i="21" s="1"/>
  <c r="M50" i="21"/>
  <c r="M56" i="21" s="1"/>
  <c r="P50" i="21"/>
  <c r="P56" i="21" s="1"/>
  <c r="Y50" i="21"/>
  <c r="Y56" i="21" s="1"/>
  <c r="Y51" i="21"/>
  <c r="Y58" i="21" s="1"/>
  <c r="T50" i="21"/>
  <c r="T56" i="21" s="1"/>
  <c r="S50" i="21"/>
  <c r="S56" i="21" s="1"/>
  <c r="U50" i="21"/>
  <c r="U56" i="21" s="1"/>
  <c r="X50" i="21"/>
  <c r="X56" i="21" s="1"/>
  <c r="V50" i="21"/>
  <c r="V56" i="21" s="1"/>
  <c r="O50" i="21"/>
  <c r="O56" i="21" s="1"/>
  <c r="L50" i="21"/>
  <c r="L56" i="21" s="1"/>
  <c r="Z43" i="21"/>
  <c r="F50" i="21"/>
  <c r="Q50" i="21"/>
  <c r="Q56" i="21" s="1"/>
  <c r="R50" i="21"/>
  <c r="R56" i="21" s="1"/>
  <c r="N50" i="21"/>
  <c r="N56" i="21" s="1"/>
  <c r="W50" i="21"/>
  <c r="W56" i="21" s="1"/>
  <c r="K50" i="21"/>
  <c r="K56" i="21" s="1"/>
  <c r="J50" i="21"/>
  <c r="J56" i="21" s="1"/>
  <c r="Q49" i="21" l="1"/>
  <c r="Q55" i="21" s="1"/>
  <c r="Q51" i="21"/>
  <c r="Q58" i="21" s="1"/>
  <c r="U49" i="21"/>
  <c r="U55" i="21" s="1"/>
  <c r="U51" i="21"/>
  <c r="U58" i="21" s="1"/>
  <c r="B55" i="21"/>
  <c r="B53" i="21"/>
  <c r="C52" i="21"/>
  <c r="B60" i="21"/>
  <c r="D51" i="21"/>
  <c r="D58" i="21" s="1"/>
  <c r="D49" i="21"/>
  <c r="D55" i="21" s="1"/>
  <c r="E51" i="21"/>
  <c r="E58" i="21" s="1"/>
  <c r="E49" i="21"/>
  <c r="E55" i="21" s="1"/>
  <c r="C51" i="21"/>
  <c r="C49" i="21"/>
  <c r="I49" i="21"/>
  <c r="I55" i="21" s="1"/>
  <c r="I51" i="21"/>
  <c r="I58" i="21" s="1"/>
  <c r="X49" i="21"/>
  <c r="X55" i="21" s="1"/>
  <c r="X51" i="21"/>
  <c r="X58" i="21" s="1"/>
  <c r="W49" i="21"/>
  <c r="W55" i="21" s="1"/>
  <c r="W51" i="21"/>
  <c r="W58" i="21" s="1"/>
  <c r="V49" i="21"/>
  <c r="V55" i="21" s="1"/>
  <c r="V51" i="21"/>
  <c r="V58" i="21" s="1"/>
  <c r="F49" i="21"/>
  <c r="F55" i="21" s="1"/>
  <c r="F51" i="21"/>
  <c r="F58" i="21" s="1"/>
  <c r="T49" i="21"/>
  <c r="T55" i="21" s="1"/>
  <c r="T51" i="21"/>
  <c r="T58" i="21" s="1"/>
  <c r="S49" i="21"/>
  <c r="S55" i="21" s="1"/>
  <c r="S51" i="21"/>
  <c r="S58" i="21" s="1"/>
  <c r="R49" i="21"/>
  <c r="R55" i="21" s="1"/>
  <c r="R51" i="21"/>
  <c r="R58" i="21" s="1"/>
  <c r="P49" i="21"/>
  <c r="P55" i="21" s="1"/>
  <c r="P51" i="21"/>
  <c r="P58" i="21" s="1"/>
  <c r="O49" i="21"/>
  <c r="O55" i="21" s="1"/>
  <c r="O51" i="21"/>
  <c r="O58" i="21" s="1"/>
  <c r="N49" i="21"/>
  <c r="N55" i="21" s="1"/>
  <c r="N51" i="21"/>
  <c r="N58" i="21" s="1"/>
  <c r="L49" i="21"/>
  <c r="L55" i="21" s="1"/>
  <c r="L51" i="21"/>
  <c r="L58" i="21" s="1"/>
  <c r="K49" i="21"/>
  <c r="K55" i="21" s="1"/>
  <c r="K51" i="21"/>
  <c r="K58" i="21" s="1"/>
  <c r="J49" i="21"/>
  <c r="J55" i="21" s="1"/>
  <c r="J51" i="21"/>
  <c r="J58" i="21" s="1"/>
  <c r="H49" i="21"/>
  <c r="H55" i="21" s="1"/>
  <c r="H51" i="21"/>
  <c r="H58" i="21" s="1"/>
  <c r="G49" i="21"/>
  <c r="G55" i="21" s="1"/>
  <c r="G51" i="21"/>
  <c r="G58" i="21" s="1"/>
  <c r="M49" i="21"/>
  <c r="M55" i="21" s="1"/>
  <c r="M51" i="21"/>
  <c r="M58" i="21" s="1"/>
  <c r="F56" i="21"/>
  <c r="Z56" i="21" s="1"/>
  <c r="Z50" i="21"/>
  <c r="C53" i="21" l="1"/>
  <c r="D52" i="21"/>
  <c r="C58" i="21"/>
  <c r="B9" i="21"/>
  <c r="B8" i="21"/>
  <c r="Z51" i="21"/>
  <c r="C55" i="21"/>
  <c r="Z55" i="21" s="1"/>
  <c r="Z49" i="21"/>
  <c r="C59" i="21" l="1"/>
  <c r="Z58" i="21"/>
  <c r="D53" i="21"/>
  <c r="E52" i="21"/>
  <c r="C60" i="21" l="1"/>
  <c r="D59" i="21"/>
  <c r="F52" i="21"/>
  <c r="E53" i="21"/>
  <c r="E59" i="21" l="1"/>
  <c r="D60" i="21"/>
  <c r="F53" i="21"/>
  <c r="G52" i="21"/>
  <c r="E60" i="21" l="1"/>
  <c r="F59" i="21"/>
  <c r="G53" i="21"/>
  <c r="H52" i="21"/>
  <c r="G59" i="21" l="1"/>
  <c r="F60" i="21"/>
  <c r="H53" i="21"/>
  <c r="I52" i="21"/>
  <c r="G60" i="21" l="1"/>
  <c r="H59" i="21"/>
  <c r="I53" i="21"/>
  <c r="J52" i="21"/>
  <c r="I59" i="21" l="1"/>
  <c r="H60" i="21"/>
  <c r="J53" i="21"/>
  <c r="K52" i="21"/>
  <c r="J59" i="21" l="1"/>
  <c r="I60" i="21"/>
  <c r="L52" i="21"/>
  <c r="K53" i="21"/>
  <c r="K59" i="21" l="1"/>
  <c r="J60" i="21"/>
  <c r="L53" i="21"/>
  <c r="M52" i="21"/>
  <c r="L59" i="21" l="1"/>
  <c r="K60" i="21"/>
  <c r="M53" i="21"/>
  <c r="N52" i="21"/>
  <c r="L60" i="21" l="1"/>
  <c r="M59" i="21"/>
  <c r="N53" i="21"/>
  <c r="O52" i="21"/>
  <c r="N59" i="21" l="1"/>
  <c r="M60" i="21"/>
  <c r="P52" i="21"/>
  <c r="O53" i="21"/>
  <c r="N60" i="21" l="1"/>
  <c r="O59" i="21"/>
  <c r="P53" i="21"/>
  <c r="Q52" i="21"/>
  <c r="P59" i="21" l="1"/>
  <c r="O60" i="21"/>
  <c r="R52" i="21"/>
  <c r="Q53" i="21"/>
  <c r="Q59" i="21" l="1"/>
  <c r="P60" i="21"/>
  <c r="R53" i="21"/>
  <c r="S52" i="21"/>
  <c r="R59" i="21" l="1"/>
  <c r="Q60" i="21"/>
  <c r="S53" i="21"/>
  <c r="T52" i="21"/>
  <c r="S59" i="21" l="1"/>
  <c r="R60" i="21"/>
  <c r="T53" i="21"/>
  <c r="U52" i="21"/>
  <c r="T59" i="21" l="1"/>
  <c r="S60" i="21"/>
  <c r="U53" i="21"/>
  <c r="V52" i="21"/>
  <c r="U59" i="21" l="1"/>
  <c r="T60" i="21"/>
  <c r="V53" i="21"/>
  <c r="W52" i="21"/>
  <c r="V59" i="21" l="1"/>
  <c r="U60" i="21"/>
  <c r="W53" i="21"/>
  <c r="X52" i="21"/>
  <c r="W59" i="21" l="1"/>
  <c r="V60" i="21"/>
  <c r="X53" i="21"/>
  <c r="Y52" i="21"/>
  <c r="Y53" i="21" s="1"/>
  <c r="X59" i="21" l="1"/>
  <c r="W60" i="21"/>
  <c r="Y59" i="21" l="1"/>
  <c r="Y60" i="21" s="1"/>
  <c r="X60" i="21"/>
  <c r="B10" i="21" a="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<sst xmlns="http://schemas.openxmlformats.org/spreadsheetml/2006/main" count="214" uniqueCount="178">
  <si>
    <t>€/ha</t>
  </si>
  <si>
    <t>Kasvuston kemiallinen tuhoaminen (glyfosaattivalmiste 6—8 I/ha), kantojen jyrsintä</t>
  </si>
  <si>
    <t>Viherä-Aarnio ym. 2022</t>
  </si>
  <si>
    <t>Työvaihe</t>
  </si>
  <si>
    <t>Lähde</t>
  </si>
  <si>
    <t>Lisätietoa</t>
  </si>
  <si>
    <t>Viljelysmaan perustaminen</t>
  </si>
  <si>
    <t>Ojitus + ojarumpu</t>
  </si>
  <si>
    <t xml:space="preserve">Awuah ym. 2026 </t>
  </si>
  <si>
    <t>Maanmuokkaustyöt</t>
  </si>
  <si>
    <t>Awuah ym. 2026: soil leveling 91 €/ha</t>
  </si>
  <si>
    <t>Rikantorjunta, glyfosaatti + levitys</t>
  </si>
  <si>
    <t>Awuah ym. 2026</t>
  </si>
  <si>
    <t xml:space="preserve">Glyfosaattia 6 L/ha, hinta 21,49 €/L, levitys 22€/ha. </t>
  </si>
  <si>
    <t>Viherä-Aarnio ym. 2022 lähteessä paljon halvempi.</t>
  </si>
  <si>
    <t>pH:n nosto: tuhka (vaihtoehtoinen) + kuljetus</t>
  </si>
  <si>
    <t>Suutari 2020</t>
  </si>
  <si>
    <t>Tuhka 6 tn/ha, 25 €/tn. + levityskustannus: 100€/ha / 1,5 ha/h = 67 €/ha</t>
  </si>
  <si>
    <t>Lannoitus: karjanlanta + kuljetus</t>
  </si>
  <si>
    <t>Awuah ym. 2026 ja Viherä-Aarnio ym. 2022</t>
  </si>
  <si>
    <t>pH:n nosto: kalkki + levitys</t>
  </si>
  <si>
    <t>10 tn/ha, kustannus 21 €/tn.</t>
  </si>
  <si>
    <t>Lähteessä Viherä-Aarnio ym. 2022 määrä 6 tn/ha ja kustannus 41,6 €/tn --&gt; 2 x kalliimpi, levityskustannus mukana hinnassa?</t>
  </si>
  <si>
    <t>Lannoitus: mineraalilannoitus</t>
  </si>
  <si>
    <t>Istuttaminen</t>
  </si>
  <si>
    <t>Pistokkaat</t>
  </si>
  <si>
    <t>13000 pistokasta /ha, a´hinta 0,12 €, lähde: Awuah ym. 2026 (Neovan Karhunsuon koeviljelmä)</t>
  </si>
  <si>
    <t>Lähteessä Viherä-Aarnio ym. 2022: Pistokkaat (12 800 kpl + istutus) = 2406 €/ha</t>
  </si>
  <si>
    <t>Istutustyön hinta</t>
  </si>
  <si>
    <t>Alasleikkuu</t>
  </si>
  <si>
    <t>Sadonkorjuu ja hoito</t>
  </si>
  <si>
    <t>Lannoitus sadonkorjuun jälkeen</t>
  </si>
  <si>
    <t>Lopetus</t>
  </si>
  <si>
    <t>Kasvuston kemiallinen lopetus + jyrsintä</t>
  </si>
  <si>
    <t>Muut kustannukset</t>
  </si>
  <si>
    <t>Maa-alueen kustannukset, suo: vuokra</t>
  </si>
  <si>
    <t>Tuotot</t>
  </si>
  <si>
    <t>vuotta</t>
  </si>
  <si>
    <t>Kannattavuuslaskelman lähtötiedot</t>
  </si>
  <si>
    <t>Vuosi</t>
  </si>
  <si>
    <t>Ojitus</t>
  </si>
  <si>
    <t>pH:n nosto: tuhka + kuljetus</t>
  </si>
  <si>
    <t>Istutustyö</t>
  </si>
  <si>
    <t>Lannoitus sadonkorjuun jälkeen (karjanlanta + kuljetus)</t>
  </si>
  <si>
    <t>Nimellinen (ei korkoa):</t>
  </si>
  <si>
    <t>Vuoden menot yht.</t>
  </si>
  <si>
    <t>Vuoden tulot yht.</t>
  </si>
  <si>
    <t>Kaikki tulot yhteensä</t>
  </si>
  <si>
    <t>Nettokassavirta</t>
  </si>
  <si>
    <t>nettokassavirta yht.</t>
  </si>
  <si>
    <t>Kumulatiivinen nettokassavirta</t>
  </si>
  <si>
    <t>Takaisinmaksuajan etsintä</t>
  </si>
  <si>
    <t>Diskontattu:</t>
  </si>
  <si>
    <t>Vuoden diskontatut menot</t>
  </si>
  <si>
    <t xml:space="preserve">Vuoden diskontatut tulot yht. </t>
  </si>
  <si>
    <t>diskontatut tulot yht.</t>
  </si>
  <si>
    <t>Diskontattu nettokassavirta</t>
  </si>
  <si>
    <t>Kumulatiivinen diskontattu kassavirta</t>
  </si>
  <si>
    <t>Diskontattu takaisinmaksuaika etsintä</t>
  </si>
  <si>
    <t>sisäinen korkokanta, kun NNA = 0, manuaalisesti haarukoimalla</t>
  </si>
  <si>
    <t>Yritysmaailmassa odotettu IRR on 16 %</t>
  </si>
  <si>
    <t>Takaisinmaksuaika</t>
  </si>
  <si>
    <t>Alasleikkuu istutusta seuraavana vuonna, jotta paju saadaan haaroittumaan.</t>
  </si>
  <si>
    <t>Koneellinen istutus Suutarin kaksirivisellä istutuskoneilla.</t>
  </si>
  <si>
    <t>Lähteessä Viherä-Aarnio ym. 2022 sekä Awuah ym. 2026 paljon kalliimpi: (Viherä-Aarnio ym. 2022: 370 €/ha levitysmäärällä 5 t/ha</t>
  </si>
  <si>
    <r>
      <rPr>
        <sz val="11"/>
        <rFont val="Calibri"/>
        <family val="2"/>
        <scheme val="minor"/>
      </rPr>
      <t>Lietelannan hinta 10 €/tn</t>
    </r>
    <r>
      <rPr>
        <sz val="11"/>
        <color theme="1"/>
        <rFont val="Calibri"/>
        <family val="2"/>
        <scheme val="minor"/>
      </rPr>
      <t xml:space="preserve"> (Awuah ym. 2026), määrä 30 t/ha (Suutari 2020, Kurki 2016). Kuljetus + levitys 442 €/ha 10 km päähän. Levitys multaavalla vaunulla.</t>
    </r>
  </si>
  <si>
    <t>Korjuukustannus ajosilppurilla</t>
  </si>
  <si>
    <t>Neovan Karhunsuon koeviljelmä, mukana tierumpu 57 € (kappalehinta) sekä ojitustyö 695 €/ha</t>
  </si>
  <si>
    <t>Diskonttokorko</t>
  </si>
  <si>
    <t>€/ha/vuosi</t>
  </si>
  <si>
    <t>Vaihtoehtoisia kustannustietoja</t>
  </si>
  <si>
    <t>Maa-alueen vuokra</t>
  </si>
  <si>
    <t>Entisen turvetuotantoalueen vuokra</t>
  </si>
  <si>
    <t>Lannoituskustannus per lannoituskerta. Sama kuin perustamislannoitus eli maksimi. HUOM kerro sadonkorjuun määrillä -1</t>
  </si>
  <si>
    <t>KASSAVIRTA</t>
  </si>
  <si>
    <t>diskontattu nettokassavirta eli nettonykyarvo</t>
  </si>
  <si>
    <t>Korjauskustannus (korjuu suoraan hakkeeksi)</t>
  </si>
  <si>
    <t>Pelkkä äestys</t>
  </si>
  <si>
    <t>i-m3/ha/vuosi</t>
  </si>
  <si>
    <t>k-m3/ha/vuosi</t>
  </si>
  <si>
    <t>Logistiikka</t>
  </si>
  <si>
    <t>i-m3/vuosi</t>
  </si>
  <si>
    <t>t k-a/ha/vuosi</t>
  </si>
  <si>
    <t>Pajun kuivatuoretiheys</t>
  </si>
  <si>
    <t>t k-a/k-m3</t>
  </si>
  <si>
    <t>Viljelyala, joka tuottaa 100 tilan tarvitseman kestokuivikemäärän</t>
  </si>
  <si>
    <t>ha</t>
  </si>
  <si>
    <t>Yksikköhinta</t>
  </si>
  <si>
    <t>Yksikköä (kpl)</t>
  </si>
  <si>
    <t>Yhteensä</t>
  </si>
  <si>
    <t>Tuotetun pajuhakkeen määrä kuiva-ainetonneissa</t>
  </si>
  <si>
    <t>Yksikkö</t>
  </si>
  <si>
    <t>€/vuosi</t>
  </si>
  <si>
    <t>Pajulohkon perustaminen</t>
  </si>
  <si>
    <t>Pajulohkon istutus</t>
  </si>
  <si>
    <t>Pajun sadonkorjuu ja hoito</t>
  </si>
  <si>
    <t>Pajukasvuston lopetus</t>
  </si>
  <si>
    <t>Pajuviljelmän vuokrakustannukset</t>
  </si>
  <si>
    <t>Apilanurmen tuotantokustannus (maataloustuki huomioitu)</t>
  </si>
  <si>
    <t>Apilanurmen tuotantokustannus määrälle 325 000 kg ka/vuosi</t>
  </si>
  <si>
    <t>Pajuapilakompostin tuotto</t>
  </si>
  <si>
    <t>Kompostoinnin kustannus</t>
  </si>
  <si>
    <t>Kompostointi</t>
  </si>
  <si>
    <t>Kompostinnin karkea kustannus</t>
  </si>
  <si>
    <t>https://nyvraa.dk/media/3mrjxkbx/price-list-zoo-nl.pdf</t>
  </si>
  <si>
    <t>Nurmen tuotantokustannus</t>
  </si>
  <si>
    <t>Pajuhakkeen lähisiirrot pellolta kompostikentälle (&lt; 5 km)</t>
  </si>
  <si>
    <t>Kompostikentän vuokra</t>
  </si>
  <si>
    <t>Kompostikentän (1 ha) vuosivuokra</t>
  </si>
  <si>
    <t xml:space="preserve">PERUSLASKELMASSA KÄYTETTYJÄ LÄHTÖTIETOJA </t>
  </si>
  <si>
    <t>Oma arvio / ChatGPT / Lätti ym. (2014)</t>
  </si>
  <si>
    <t xml:space="preserve">Perustuu traktorikuormien määrään ja traktorityön tuntikustannukseen 65 €/h </t>
  </si>
  <si>
    <t>Kustannus</t>
  </si>
  <si>
    <t>€/ha/korjuu</t>
  </si>
  <si>
    <t>Korhonen (2025)</t>
  </si>
  <si>
    <t>Oksala ym. (2018)</t>
  </si>
  <si>
    <t>Oma arvio</t>
  </si>
  <si>
    <t>Hehtaarin kompostikentän vuokra. Teollisuustonttien vuokrat n. 5 % tontin arvosta, teollisuustontin neliöhinnaksi pienemmillä paikkakunnilla Satakunnassa oletettu tiedonhaun perusteella 5 €/ha.</t>
  </si>
  <si>
    <t>Kompostituotteen muut kustannukset</t>
  </si>
  <si>
    <t>Pajuhakkeen siirto kompostikentälle (n. 5 km päähän)</t>
  </si>
  <si>
    <t>Tuotettava paju-apilakompostikuivikkeen määrä irtokuutioina</t>
  </si>
  <si>
    <t>Pajun hehtaarisato vuodessa kuiva-ainetonneina</t>
  </si>
  <si>
    <t>Pajun hehtaarisato vuodessa kiintokuutioina</t>
  </si>
  <si>
    <t>Pajun hehtaarisato vuodessa irtokuutioina (hakkeena)</t>
  </si>
  <si>
    <t>Kompostoinnin kustannus 5 €/i-m³ kompostoitavaa materiaalia – hyvin karkea arvio. HSY:n 10 €/t kompostointikustannus vastaa paju–apilaseoksen arvioidulla tiheydellä noin 4,5–5,5 €/i-m³.</t>
  </si>
  <si>
    <t>Säilörehun tuotantokustannus maataloustuki huomioiden 0,2 €/kg k-a. Nurmen tiheydella 260 kg/i-m3 ja kuiva-ainepitoisuudella 25 % kuiva-ainetta tarvitaan 325 000 kg vuodessa.</t>
  </si>
  <si>
    <t>Tarvittavan pajunviljelyalan laskenta:</t>
  </si>
  <si>
    <t>Paju-apilakompostin tuotantokustannukset</t>
  </si>
  <si>
    <t>Lähtötieto</t>
  </si>
  <si>
    <t>Arvo</t>
  </si>
  <si>
    <t>Vuosittain korjattava viljelyala (4 vuoden korjuukierto)</t>
  </si>
  <si>
    <t>Laskettu arvioidulla hehtaarisadolla korjuukustannuksesta 37 €/k-a tn.</t>
  </si>
  <si>
    <t>Vuosittainen myyntituotto: noin 300 000 €/vuosi</t>
  </si>
  <si>
    <t>Pajukompostikuivikkeen myyntihinta: 60 €/i-m³ (NyVraan kuiviketuotteen karkea bulk-hinta, tieto haettu 27.8.2026):</t>
  </si>
  <si>
    <t>Pajukompostikuivikkeen myyntimäärä: 5 000 i-m³/vuosi</t>
  </si>
  <si>
    <t>Mainitut lähdeaineistot:</t>
  </si>
  <si>
    <t>Awuah, J., Pappinen, A., Laasasenaho, K., Hassan, M. K., Lauhanen, R., &amp; Kuittinen, S. (2026). Evaluating the investment attractiveness and carbon credit potential of short rotation willow plantation on a cutaway peatland. Industrial Crops &amp; Products, 240, 122567. https://doi.org/10.1016/j.indcrop.2025.122567</t>
  </si>
  <si>
    <t>Viherä-Aarnio, A., Jyske, T., Beuker, E., Kaseva, J., &amp; Sarjala, T. (toim.). (2022). Pajut biokiertotaloudessa: Materiaaleja, arvoaineita, ympäristöhyötyjä: Synteesiraportti. Luonnonvara- ja biotalouden tutkimus 11/2022. Luonnonvarakeskus.</t>
  </si>
  <si>
    <t>Luhas, J., Marttila, M., Leppäkoski, L., Mikkilä, M., Uusitalo, V., &amp; Linnanen, L. (2022). A financial and environmental sustainability of circular bioeconomy: A case study of short rotation coppice, biochar and greenhouse production in southern Finland. Biomass and Bioenergy, 163, 106524. https://doi.org/10.1016/j.biombioe.2022.106524</t>
  </si>
  <si>
    <t>Carbons Finland Oy. (2020). Pajujen kasvatusohjeet: Kesä 2020. https://carbons.fi/wp-content/uploads/2020/11/Tuotekortti-Pajun-kasvatus-0720.pdf</t>
  </si>
  <si>
    <t xml:space="preserve">Oksala, J., Havukainen, J., &amp; Rantala, T. (2018). Ongelmasta resurssiksi: Lannan hyödyntämisen tekniikkaopas talleille (LUT Scientific and Expertise Publications, Tutkimusraportit – Research Reports No. 76). Lappeenrannan teknillinen yliopisto. https://urn.fi/URN:ISBN:978-952-335-206-3 </t>
  </si>
  <si>
    <t>Korhonen, I. (2025). Ruokinnan tunnusluvut vuodelta 2024 [PowerPoint-esitys]. ProAgria Keskusten Liitto. https://www.proagria.fi/uploads/ProAgria/Tiedostot/Ruokinnan_tunnusluvut_vuodelta_2024.pdf</t>
  </si>
  <si>
    <t>Lätti, M., Tuure, V.-M., Eskelinen, P., &amp; Räisänen, J. (2014). Säilörehunkorjuu laajentuvalla karjatilalla. TTS:n tiedote: Maataloustyö ja tuottavuus, 4/2014 (655). Työtehoseura.</t>
  </si>
  <si>
    <t>NPV eli nettonykyarvo</t>
  </si>
  <si>
    <t>IRR eli sisäinen korkokanta eli tuottoprosentti</t>
  </si>
  <si>
    <t>KASSAVIRTALASKELMAN TULOKSET</t>
  </si>
  <si>
    <t>KASSAVIRTALASKELMA PAJU-APILANURMIKOMPOSTIKUIVIKKEEN TUOTANTO</t>
  </si>
  <si>
    <t>HUOM! Laskelmassa 106 ha pajuviljelmä perustetaan vaiheittain siten, että joka vuosi perustetaan 26,5 ha viljelmä ensimmäisen neljän vuoden aikana. Ensimmäisen neljän viljelyvuoden jälkeen joka vuosi korjataan sato 26,5 hehtaarilta, jolloin kasvusto on neljävuotias.</t>
  </si>
  <si>
    <t>Kustannukset</t>
  </si>
  <si>
    <t>Kaikki kustannukset yhteensä</t>
  </si>
  <si>
    <t>diskontatut kustannukset yht.</t>
  </si>
  <si>
    <t>Kuivikkeen (pajuapilakompostin) myynti</t>
  </si>
  <si>
    <t>Kassavirtalaskelmataulukko</t>
  </si>
  <si>
    <t>OHJE KASSAVIRTALASKELMAN KÄYTTÖÖN</t>
  </si>
  <si>
    <t>Mitä laskelmalla voi tehdä?</t>
  </si>
  <si>
    <t>Kassavirtalaskelma-välilehden avulla voi arvioida suunnitellun paju–apilanurmikompostikuivikkeen tuotannon kassavirtaa ja kannattavuutta 24 vuoden tarkastelujaksolla.</t>
  </si>
  <si>
    <t>Laskentapohjassa on valmiina Pajuarvoketjuista uutta liiketoimintaa -hankkeessa laadittu esimerkkilaskelma liiketoimintamallista, jossa toimija viljelee pajua ja apilanurmea, kompostoi biomassat ja myy valmiin paju–apilanurmikompostin kuivikkeeksi. Laskentapohjaa voi muokata oman suunnitellun liiketoiminnan tarkasteluun.</t>
  </si>
  <si>
    <t>Mistä lähtötiedot löytyvät?</t>
  </si>
  <si>
    <t>Lähtötiedoissa kuvataan muun muassa pajun ja apilanurmen tuotannon kustannuksia, korjuu- ja logistiikkakustannuksia, kompostoinnin kustannuksia sekä valmiin kuivikkeen myyntimäärää ja myyntihintaa.</t>
  </si>
  <si>
    <t>Miten laskelmaa voi muokata?</t>
  </si>
  <si>
    <t>Laskelmaa voi muokata omaan suunniteltuun liiketoimintaan sopivaksi kahdella tavalla:</t>
  </si>
  <si>
    <t>Laskentapohjasta kannattaa tallentaa oma kopio ennen kaavojen tai taulukon rakenteen muuttamista.</t>
  </si>
  <si>
    <t>Kustannusten ja tuottojen ajoittaminen</t>
  </si>
  <si>
    <t>Esimerkkilaskelmassa 106 hehtaarin pajuviljelmä perustetaan vaiheittain ensimmäisen neljän vuoden aikana. Tämän jälkeen pajua korjataan vuosittain eri lohkoilta neljän vuoden korjuukierron mukaisesti. Kuivikkeen myynti alkaa, kun ensimmäinen pajusato on korjattu ja kompostoitu.</t>
  </si>
  <si>
    <t>Laskelmassa käytettävää diskonttokorkoa voi muuttaa tarkastelussa käytettävän tuottovaatimuksen mukaiseksi.</t>
  </si>
  <si>
    <t>Miten laskelman tuloksia tulkitaan?</t>
  </si>
  <si>
    <t>Huomioitavaa tuloksista</t>
  </si>
  <si>
    <t>Laskentapohja on tarkoitettu alustavien taloudellisten tarkastelujen tekemiseen. Tulokset riippuvat käytetyistä lähtöoletuksista, kuten pajun ja nurmibiomassan satotasoista, viljely- ja korjuukustannuksista, kompostoinnin kustannuksista, tuotantomääristä sekä valmiin kuivikkeen myyntihinnasta.</t>
  </si>
  <si>
    <t>Esimerkkilaskelmassa paju–apilanurmikompostikuivikkeen myyntihinta perustuu Ny Vraan vastaavantyyppisen tuotteen hintatasoon. Kompostoinnin ja muiden jalostusvaiheiden kustannuksiin liittyy puolestaan epävarmuutta, koska vastaavan tuotantoketjun toteutuneista kustannuksista on niukasti tietoa.</t>
  </si>
  <si>
    <t>Esimerkkilaskelman tulokset eivät sellaisenaan kuvaa yksittäisen yrityksen toteutuvan liiketoiminnan kannattavuutta. Tarkempi arviointi edellyttää tapauskohtaisia tietoja muun muassa raaka-aineiden tuotannosta, kompostointimenetelmästä ja sen kustannuksista, valmiin tuotteen ominaisuuksista sekä tavoitellusta markkinasta ja myyntihinnasta.</t>
  </si>
  <si>
    <r>
      <t xml:space="preserve">Esimerkkilaskelmassa käytettyjä kustannus- ja tuottotietoja sekä niiden lähteitä on koottu välilehdille </t>
    </r>
    <r>
      <rPr>
        <b/>
        <sz val="12"/>
        <color theme="1"/>
        <rFont val="Calibri"/>
        <family val="2"/>
        <scheme val="minor"/>
      </rPr>
      <t>Lähtötiedot_kustannukset</t>
    </r>
    <r>
      <rPr>
        <sz val="12"/>
        <color theme="1"/>
        <rFont val="Calibri"/>
        <family val="2"/>
        <scheme val="minor"/>
      </rPr>
      <t xml:space="preserve"> ja </t>
    </r>
    <r>
      <rPr>
        <b/>
        <sz val="12"/>
        <color theme="1"/>
        <rFont val="Calibri"/>
        <family val="2"/>
        <scheme val="minor"/>
      </rPr>
      <t>Lähtötiedot_tuotot</t>
    </r>
    <r>
      <rPr>
        <sz val="12"/>
        <color theme="1"/>
        <rFont val="Calibri"/>
        <family val="2"/>
        <scheme val="minor"/>
      </rPr>
      <t>. Kassavirtalaskelman kaavat hakevat tietoja näiltä välilehdiltä.</t>
    </r>
  </si>
  <si>
    <r>
      <t>Lähtötietoja muuttamalla:</t>
    </r>
    <r>
      <rPr>
        <sz val="12"/>
        <color theme="1"/>
        <rFont val="Calibri"/>
        <family val="2"/>
        <scheme val="minor"/>
      </rPr>
      <t xml:space="preserve"> Esimerkkilaskelmassa käytettyjä kustannus- ja tuottotietoja voi muuttaa </t>
    </r>
    <r>
      <rPr>
        <i/>
        <sz val="12"/>
        <color theme="1"/>
        <rFont val="Calibri"/>
        <family val="2"/>
        <scheme val="minor"/>
      </rPr>
      <t>Lähtötiedot_kustannukset</t>
    </r>
    <r>
      <rPr>
        <sz val="12"/>
        <color theme="1"/>
        <rFont val="Calibri"/>
        <family val="2"/>
        <scheme val="minor"/>
      </rPr>
      <t xml:space="preserve">- ja </t>
    </r>
    <r>
      <rPr>
        <i/>
        <sz val="12"/>
        <color theme="1"/>
        <rFont val="Calibri"/>
        <family val="2"/>
        <scheme val="minor"/>
      </rPr>
      <t>Lähtötiedot_tuotot</t>
    </r>
    <r>
      <rPr>
        <sz val="12"/>
        <color theme="1"/>
        <rFont val="Calibri"/>
        <family val="2"/>
        <scheme val="minor"/>
      </rPr>
      <t xml:space="preserve"> -välilehdillä. Kassavirtalaskelman kaavat hakevat muuttuneet tiedot näiltä välilehdiltä.</t>
    </r>
  </si>
  <si>
    <r>
      <t>Muokkaamalla kassavirtataulukkoa suoraan:</t>
    </r>
    <r>
      <rPr>
        <sz val="12"/>
        <color theme="1"/>
        <rFont val="Calibri"/>
        <family val="2"/>
        <scheme val="minor"/>
      </rPr>
      <t xml:space="preserve"> Kustannus- ja tuottoeriä voi lisätä, poistaa tai muuttaa suoraan </t>
    </r>
    <r>
      <rPr>
        <i/>
        <sz val="12"/>
        <color theme="1"/>
        <rFont val="Calibri"/>
        <family val="2"/>
        <scheme val="minor"/>
      </rPr>
      <t>Kassavirta_paju-apilakomposti</t>
    </r>
    <r>
      <rPr>
        <sz val="12"/>
        <color theme="1"/>
        <rFont val="Calibri"/>
        <family val="2"/>
        <scheme val="minor"/>
      </rPr>
      <t>-välilehdellä omaa liiketoimintaa vastaaviksi. Huomaa, että solussa oleva kaava poistuu, jos sen päälle kirjoitetaan uusi arvo.</t>
    </r>
  </si>
  <si>
    <r>
      <t xml:space="preserve">Kustannukset ja tuotot tulee kohdistaa niille toimintavuosille, joina niiden arvioidaan toteutuvan. Laskelman toimintavuodet </t>
    </r>
    <r>
      <rPr>
        <b/>
        <sz val="12"/>
        <color theme="1"/>
        <rFont val="Calibri"/>
        <family val="2"/>
        <scheme val="minor"/>
      </rPr>
      <t>0–23</t>
    </r>
    <r>
      <rPr>
        <sz val="12"/>
        <color theme="1"/>
        <rFont val="Calibri"/>
        <family val="2"/>
        <scheme val="minor"/>
      </rPr>
      <t xml:space="preserve"> kuvaavat 24 vuoden tarkastelujaksoa. Vuosi 0 kuvaa toiminnan ja investointien aloitushetkeä.</t>
    </r>
  </si>
  <si>
    <r>
      <t>Nettonykyarvo (NPV)</t>
    </r>
    <r>
      <rPr>
        <sz val="12"/>
        <color theme="1"/>
        <rFont val="Calibri"/>
        <family val="2"/>
        <scheme val="minor"/>
      </rPr>
      <t xml:space="preserve"> kertoo investoinnin arvon valitulla tuottovaatimuksella, kun tarkastelujakson tulevat kassavirrat muutetaan nykyarvoon. Positiivinen nettonykyarvo tarkoittaa, että laskelma ylittää valitun tuottovaatimuksen. Negatiivinen nettonykyarvo tarkoittaa, että tuottovaatimus ei täyty.</t>
    </r>
  </si>
  <si>
    <r>
      <t>Sisäinen korkokanta (IRR)</t>
    </r>
    <r>
      <rPr>
        <sz val="12"/>
        <color theme="1"/>
        <rFont val="Calibri"/>
        <family val="2"/>
        <scheme val="minor"/>
      </rPr>
      <t xml:space="preserve"> kertoo laskelman kassavirtojen perusteella muodostuvan tuottoprosentin. Sitä voidaan verrata asetettuun tuottovaatimukseen: jos sisäinen korkokanta ylittää tuottovaatimuksen, investointi täyttää tämän kannattavuuskriteerin.</t>
    </r>
  </si>
  <si>
    <r>
      <t>Diskontattu takaisinmaksuaika</t>
    </r>
    <r>
      <rPr>
        <sz val="12"/>
        <color theme="1"/>
        <rFont val="Calibri"/>
        <family val="2"/>
        <scheme val="minor"/>
      </rPr>
      <t xml:space="preserve"> kertoo, kuinka monessa vuodessa kumulatiivinen diskontattu nettokassavirta muuttuu positiiviseksi. Se kuvaa, kuinka pitkän ajan kuluessa investointi maksaa itsensä takaisin, kun myös rahan aika-arvo huomioidaan.</t>
    </r>
  </si>
  <si>
    <t>Osa laskentapohjan soluista on suojattu, jotta NPV:n, IRR:n ja takaisinmaksuajan laskentakaavat eivät muokkaudu vahingossa. Suojauksen voi tarvittaessa poistaa Excelissä. Suojauksen salasana on Pauli.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</si>
</sst>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_-;\-* #,##0_-;_-* &quot;-&quot;??_-;_-@_-"/>
    <numFmt numFmtId="165" formatCode="0.0"/>
    <numFmt numFmtId="166" formatCode="#,##0.00\ &quot;€&quot;"/>
    <numFmt numFmtId="167" formatCode="#,##0\ &quot;€&quot;"/>
    <numFmt numFmtId="168" formatCode="_-* #,##0.00\ [$€-1]_-;\-* #,##0.00\ [$€-1]_-;_-* &quot;-&quot;??\ [$€-1]_-;_-@_-"/>
    <numFmt numFmtId="169" formatCode="0.0\ %"/>
  </numFmts>
  <fonts count="28"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sz val="14"/>
      <color theme="1"/>
      <name val="Calibri"/>
      <family val="2"/>
      <scheme val="minor"/>
    </font>
    <font>
      <sz val="8"/>
      <name val="Calibri"/>
      <family val="2"/>
      <scheme val="minor"/>
    </font>
    <font>
      <b/>
      <sz val="13"/>
      <color theme="3"/>
      <name val="Calibri"/>
      <family val="2"/>
      <scheme val="minor"/>
    </font>
    <font>
      <b/>
      <sz val="11"/>
      <color theme="3"/>
      <name val="Calibri"/>
      <family val="2"/>
      <scheme val="minor"/>
    </font>
    <font>
      <b/>
      <sz val="14"/>
      <color theme="1"/>
      <name val="Calibri"/>
      <family val="2"/>
      <scheme val="minor"/>
    </font>
    <font>
      <b/>
      <sz val="14"/>
      <color theme="3"/>
      <name val="Calibri"/>
      <family val="2"/>
      <scheme val="minor"/>
    </font>
    <font>
      <b/>
      <sz val="12"/>
      <color theme="1"/>
      <name val="Calibri"/>
      <family val="2"/>
      <scheme val="minor"/>
    </font>
    <font>
      <sz val="11"/>
      <color theme="0"/>
      <name val="Calibri"/>
      <family val="2"/>
      <scheme val="minor"/>
    </font>
    <font>
      <b/>
      <sz val="11"/>
      <name val="Calibri"/>
      <family val="2"/>
      <scheme val="minor"/>
    </font>
    <font>
      <b/>
      <sz val="18"/>
      <color theme="1"/>
      <name val="Calibri"/>
      <family val="2"/>
      <scheme val="minor"/>
    </font>
    <font>
      <sz val="11"/>
      <color indexed="8"/>
      <name val="Calibri"/>
      <family val="2"/>
      <scheme val="minor"/>
    </font>
    <font>
      <sz val="14"/>
      <color rgb="FFFF0000"/>
      <name val="Calibri"/>
      <family val="2"/>
      <scheme val="minor"/>
    </font>
    <font>
      <sz val="12"/>
      <color theme="1"/>
      <name val="Calibri"/>
      <family val="2"/>
      <scheme val="minor"/>
    </font>
    <font>
      <b/>
      <u/>
      <sz val="12"/>
      <name val="Calibri"/>
      <family val="2"/>
      <scheme val="minor"/>
    </font>
    <font>
      <sz val="14"/>
      <color theme="0"/>
      <name val="Calibri"/>
      <family val="2"/>
      <scheme val="minor"/>
    </font>
    <font>
      <u/>
      <sz val="12"/>
      <name val="Calibri"/>
      <family val="2"/>
      <scheme val="minor"/>
    </font>
    <font>
      <b/>
      <u/>
      <sz val="11"/>
      <color theme="1"/>
      <name val="Calibri"/>
      <family val="2"/>
      <scheme val="minor"/>
    </font>
    <font>
      <u/>
      <sz val="14"/>
      <color theme="1"/>
      <name val="Calibri"/>
      <family val="2"/>
      <scheme val="minor"/>
    </font>
    <font>
      <u/>
      <sz val="11"/>
      <color theme="1"/>
      <name val="Calibri"/>
      <family val="2"/>
      <scheme val="minor"/>
    </font>
    <font>
      <b/>
      <u/>
      <sz val="16"/>
      <color theme="1"/>
      <name val="Calibri"/>
      <family val="2"/>
      <scheme val="minor"/>
    </font>
    <font>
      <b/>
      <sz val="13.5"/>
      <color theme="1"/>
      <name val="Calibri"/>
      <family val="2"/>
      <scheme val="minor"/>
    </font>
    <font>
      <i/>
      <sz val="12"/>
      <color theme="1"/>
      <name val="Calibri"/>
      <family val="2"/>
      <scheme val="minor"/>
    </font>
  </fonts>
  <fills count="11">
    <fill>
      <patternFill patternType="none"/>
    </fill>
    <fill>
      <patternFill patternType="gray125"/>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6" tint="0.39997558519241921"/>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79998168889431442"/>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theme="6"/>
      </left>
      <right/>
      <top style="thin">
        <color theme="6"/>
      </top>
      <bottom/>
      <diagonal/>
    </border>
    <border>
      <left/>
      <right/>
      <top/>
      <bottom style="thin">
        <color indexed="64"/>
      </bottom>
      <diagonal/>
    </border>
    <border>
      <left/>
      <right/>
      <top/>
      <bottom style="thick">
        <color theme="4" tint="0.499984740745262"/>
      </bottom>
      <diagonal/>
    </border>
    <border>
      <left/>
      <right/>
      <top/>
      <bottom style="medium">
        <color theme="4" tint="0.39997558519241921"/>
      </bottom>
      <diagonal/>
    </border>
    <border>
      <left/>
      <right/>
      <top style="thin">
        <color theme="6"/>
      </top>
      <bottom/>
      <diagonal/>
    </border>
    <border>
      <left/>
      <right style="thin">
        <color theme="6"/>
      </right>
      <top style="thin">
        <color theme="6"/>
      </top>
      <bottom/>
      <diagonal/>
    </border>
    <border>
      <left/>
      <right/>
      <top style="thin">
        <color theme="6"/>
      </top>
      <bottom style="thin">
        <color theme="6"/>
      </bottom>
      <diagonal/>
    </border>
    <border>
      <left/>
      <right style="thin">
        <color indexed="64"/>
      </right>
      <top/>
      <bottom/>
      <diagonal/>
    </border>
    <border>
      <left/>
      <right style="thin">
        <color indexed="64"/>
      </right>
      <top/>
      <bottom style="thin">
        <color indexed="64"/>
      </bottom>
      <diagonal/>
    </border>
    <border>
      <left/>
      <right style="thin">
        <color indexed="64"/>
      </right>
      <top style="thick">
        <color theme="4" tint="0.499984740745262"/>
      </top>
      <bottom/>
      <diagonal/>
    </border>
    <border>
      <left/>
      <right style="thin">
        <color indexed="64"/>
      </right>
      <top/>
      <bottom style="medium">
        <color theme="4" tint="0.39997558519241921"/>
      </bottom>
      <diagonal/>
    </border>
    <border>
      <left/>
      <right style="thin">
        <color indexed="64"/>
      </right>
      <top style="thin">
        <color indexed="64"/>
      </top>
      <bottom style="medium">
        <color theme="4" tint="0.39997558519241921"/>
      </bottom>
      <diagonal/>
    </border>
    <border>
      <left/>
      <right style="thin">
        <color indexed="64"/>
      </right>
      <top style="thin">
        <color indexed="64"/>
      </top>
      <bottom/>
      <diagonal/>
    </border>
    <border>
      <left/>
      <right style="thin">
        <color indexed="64"/>
      </right>
      <top/>
      <bottom style="medium">
        <color indexed="64"/>
      </bottom>
      <diagonal/>
    </border>
    <border>
      <left/>
      <right/>
      <top/>
      <bottom style="medium">
        <color indexed="64"/>
      </bottom>
      <diagonal/>
    </border>
    <border>
      <left/>
      <right/>
      <top/>
      <bottom style="thin">
        <color theme="1"/>
      </bottom>
      <diagonal/>
    </border>
  </borders>
  <cellStyleXfs count="6">
    <xf numFmtId="0" fontId="0" fillId="0" borderId="0"/>
    <xf numFmtId="43" fontId="2" fillId="0" borderId="0" applyFont="0" applyFill="0" applyBorder="0" applyAlignment="0" applyProtection="0"/>
    <xf numFmtId="0" fontId="4" fillId="0" borderId="0" applyNumberFormat="0" applyFill="0" applyBorder="0" applyAlignment="0" applyProtection="0"/>
    <xf numFmtId="9" fontId="2" fillId="0" borderId="0" applyFont="0" applyFill="0" applyBorder="0" applyAlignment="0" applyProtection="0"/>
    <xf numFmtId="0" fontId="8" fillId="0" borderId="4" applyNumberFormat="0" applyFill="0" applyAlignment="0" applyProtection="0"/>
    <xf numFmtId="0" fontId="9" fillId="0" borderId="5" applyNumberFormat="0" applyFill="0" applyAlignment="0" applyProtection="0"/>
  </cellStyleXfs>
  <cellXfs count="134">
    <xf numFmtId="0" fontId="0" fillId="0" borderId="0" xfId="0"/>
    <xf numFmtId="0" fontId="0" fillId="0" borderId="0" xfId="0" applyAlignment="1">
      <alignment wrapText="1"/>
    </xf>
    <xf numFmtId="0" fontId="3" fillId="0" borderId="0" xfId="0" applyFont="1"/>
    <xf numFmtId="0" fontId="6" fillId="0" borderId="0" xfId="0" applyFont="1"/>
    <xf numFmtId="0" fontId="0" fillId="0" borderId="0" xfId="0" quotePrefix="1"/>
    <xf numFmtId="0" fontId="0" fillId="0" borderId="0" xfId="0" applyAlignment="1">
      <alignment vertical="top" wrapText="1"/>
    </xf>
    <xf numFmtId="0" fontId="0" fillId="0" borderId="0" xfId="0" applyAlignment="1">
      <alignment horizontal="left" vertical="top" wrapText="1"/>
    </xf>
    <xf numFmtId="0" fontId="0" fillId="0" borderId="6" xfId="0" applyBorder="1" applyAlignment="1">
      <alignment wrapText="1"/>
    </xf>
    <xf numFmtId="0" fontId="0" fillId="0" borderId="10" xfId="0" applyBorder="1"/>
    <xf numFmtId="0" fontId="0" fillId="0" borderId="9" xfId="0" applyBorder="1"/>
    <xf numFmtId="0" fontId="0" fillId="0" borderId="11" xfId="0" applyBorder="1"/>
    <xf numFmtId="164" fontId="0" fillId="0" borderId="0" xfId="0" applyNumberFormat="1"/>
    <xf numFmtId="0" fontId="0" fillId="4" borderId="9" xfId="0" applyFill="1" applyBorder="1"/>
    <xf numFmtId="164" fontId="0" fillId="0" borderId="3" xfId="0" applyNumberFormat="1" applyBorder="1"/>
    <xf numFmtId="164" fontId="0" fillId="0" borderId="9" xfId="1" applyNumberFormat="1" applyFont="1" applyBorder="1"/>
    <xf numFmtId="164" fontId="0" fillId="0" borderId="9" xfId="0" applyNumberFormat="1" applyBorder="1"/>
    <xf numFmtId="164" fontId="0" fillId="0" borderId="10" xfId="0" applyNumberFormat="1" applyBorder="1"/>
    <xf numFmtId="0" fontId="0" fillId="0" borderId="0" xfId="0" applyAlignment="1">
      <alignment horizontal="right"/>
    </xf>
    <xf numFmtId="166" fontId="0" fillId="0" borderId="0" xfId="0" applyNumberFormat="1"/>
    <xf numFmtId="166" fontId="1" fillId="3" borderId="0" xfId="0" applyNumberFormat="1" applyFont="1" applyFill="1"/>
    <xf numFmtId="166" fontId="1" fillId="2" borderId="0" xfId="0" applyNumberFormat="1" applyFont="1" applyFill="1"/>
    <xf numFmtId="167" fontId="0" fillId="0" borderId="0" xfId="0" applyNumberFormat="1"/>
    <xf numFmtId="0" fontId="5" fillId="0" borderId="9" xfId="0" applyFont="1" applyBorder="1"/>
    <xf numFmtId="0" fontId="10" fillId="0" borderId="0" xfId="0" applyFont="1"/>
    <xf numFmtId="0" fontId="12" fillId="0" borderId="0" xfId="0" applyFont="1"/>
    <xf numFmtId="164" fontId="5" fillId="4" borderId="0" xfId="0" applyNumberFormat="1" applyFont="1" applyFill="1"/>
    <xf numFmtId="164" fontId="0" fillId="0" borderId="0" xfId="1" applyNumberFormat="1" applyFont="1" applyFill="1" applyBorder="1"/>
    <xf numFmtId="164" fontId="0" fillId="0" borderId="9" xfId="1" applyNumberFormat="1" applyFont="1" applyFill="1" applyBorder="1"/>
    <xf numFmtId="0" fontId="11" fillId="0" borderId="4" xfId="4" applyFont="1" applyFill="1"/>
    <xf numFmtId="164" fontId="5" fillId="0" borderId="0" xfId="0" applyNumberFormat="1" applyFont="1"/>
    <xf numFmtId="166" fontId="1" fillId="0" borderId="0" xfId="0" applyNumberFormat="1" applyFont="1"/>
    <xf numFmtId="166" fontId="14" fillId="4" borderId="0" xfId="0" applyNumberFormat="1" applyFont="1" applyFill="1"/>
    <xf numFmtId="164" fontId="6" fillId="0" borderId="0" xfId="0" applyNumberFormat="1" applyFont="1"/>
    <xf numFmtId="0" fontId="5" fillId="0" borderId="0" xfId="0" applyFont="1"/>
    <xf numFmtId="164" fontId="0" fillId="4" borderId="0" xfId="1" applyNumberFormat="1" applyFont="1" applyFill="1" applyBorder="1"/>
    <xf numFmtId="164" fontId="0" fillId="0" borderId="0" xfId="1" applyNumberFormat="1" applyFont="1" applyBorder="1"/>
    <xf numFmtId="164" fontId="0" fillId="4" borderId="9" xfId="1" applyNumberFormat="1" applyFont="1" applyFill="1" applyBorder="1" applyAlignment="1">
      <alignment horizontal="left" vertical="top"/>
    </xf>
    <xf numFmtId="164" fontId="5" fillId="4" borderId="9" xfId="0" applyNumberFormat="1" applyFont="1" applyFill="1" applyBorder="1"/>
    <xf numFmtId="0" fontId="1" fillId="5" borderId="9" xfId="0" applyFont="1" applyFill="1" applyBorder="1"/>
    <xf numFmtId="0" fontId="0" fillId="5" borderId="0" xfId="0" applyFill="1"/>
    <xf numFmtId="2" fontId="3" fillId="5" borderId="0" xfId="0" applyNumberFormat="1" applyFont="1" applyFill="1"/>
    <xf numFmtId="0" fontId="0" fillId="5" borderId="9" xfId="0" applyFill="1" applyBorder="1"/>
    <xf numFmtId="0" fontId="1" fillId="6" borderId="9" xfId="0" applyFont="1" applyFill="1" applyBorder="1"/>
    <xf numFmtId="164" fontId="0" fillId="6" borderId="0" xfId="1" applyNumberFormat="1" applyFont="1" applyFill="1" applyBorder="1"/>
    <xf numFmtId="164" fontId="0" fillId="6" borderId="9" xfId="1" applyNumberFormat="1" applyFont="1" applyFill="1" applyBorder="1"/>
    <xf numFmtId="0" fontId="5" fillId="0" borderId="0" xfId="0" applyFont="1" applyAlignment="1">
      <alignment wrapText="1"/>
    </xf>
    <xf numFmtId="0" fontId="16" fillId="0" borderId="0" xfId="0" applyFont="1"/>
    <xf numFmtId="0" fontId="6" fillId="7" borderId="17" xfId="0" applyFont="1" applyFill="1" applyBorder="1"/>
    <xf numFmtId="0" fontId="0" fillId="7" borderId="17" xfId="0" applyFill="1" applyBorder="1"/>
    <xf numFmtId="0" fontId="15" fillId="7" borderId="17" xfId="0" applyFont="1" applyFill="1" applyBorder="1"/>
    <xf numFmtId="0" fontId="5" fillId="0" borderId="0" xfId="0" applyFont="1" applyAlignment="1">
      <alignment horizontal="left" vertical="top" wrapText="1"/>
    </xf>
    <xf numFmtId="164" fontId="17" fillId="0" borderId="0" xfId="0" applyNumberFormat="1" applyFont="1"/>
    <xf numFmtId="0" fontId="0" fillId="0" borderId="0" xfId="0" applyAlignment="1">
      <alignment vertical="top"/>
    </xf>
    <xf numFmtId="1" fontId="0" fillId="0" borderId="0" xfId="0" applyNumberFormat="1" applyAlignment="1">
      <alignment vertical="top"/>
    </xf>
    <xf numFmtId="1" fontId="5" fillId="0" borderId="0" xfId="0" applyNumberFormat="1" applyFont="1" applyAlignment="1">
      <alignment vertical="top" wrapText="1"/>
    </xf>
    <xf numFmtId="0" fontId="5" fillId="0" borderId="0" xfId="0" quotePrefix="1" applyFont="1" applyAlignment="1">
      <alignment vertical="top" wrapText="1"/>
    </xf>
    <xf numFmtId="0" fontId="5" fillId="0" borderId="0" xfId="0" applyFont="1" applyAlignment="1">
      <alignment vertical="top"/>
    </xf>
    <xf numFmtId="0" fontId="5" fillId="8" borderId="6" xfId="0" applyFont="1" applyFill="1" applyBorder="1" applyAlignment="1">
      <alignment horizontal="right" vertical="top"/>
    </xf>
    <xf numFmtId="0" fontId="0" fillId="0" borderId="6" xfId="0" applyBorder="1" applyAlignment="1">
      <alignment vertical="top"/>
    </xf>
    <xf numFmtId="0" fontId="0" fillId="0" borderId="2" xfId="0" applyBorder="1" applyAlignment="1">
      <alignment vertical="top"/>
    </xf>
    <xf numFmtId="1" fontId="0" fillId="0" borderId="6" xfId="0" applyNumberFormat="1" applyBorder="1" applyAlignment="1">
      <alignment vertical="top"/>
    </xf>
    <xf numFmtId="0" fontId="0" fillId="0" borderId="7" xfId="0" applyBorder="1" applyAlignment="1">
      <alignment vertical="top" wrapText="1"/>
    </xf>
    <xf numFmtId="3" fontId="0" fillId="0" borderId="0" xfId="0" applyNumberFormat="1" applyAlignment="1">
      <alignment vertical="top"/>
    </xf>
    <xf numFmtId="2" fontId="5" fillId="0" borderId="0" xfId="0" applyNumberFormat="1" applyFont="1" applyAlignment="1">
      <alignment vertical="top"/>
    </xf>
    <xf numFmtId="2" fontId="0" fillId="0" borderId="0" xfId="0" applyNumberFormat="1" applyAlignment="1">
      <alignment vertical="top"/>
    </xf>
    <xf numFmtId="164" fontId="6" fillId="8" borderId="0" xfId="0" applyNumberFormat="1" applyFont="1" applyFill="1"/>
    <xf numFmtId="0" fontId="19" fillId="0" borderId="9" xfId="0" applyFont="1" applyBorder="1"/>
    <xf numFmtId="0" fontId="13" fillId="0" borderId="0" xfId="0" applyFont="1" applyAlignment="1">
      <alignment vertical="top"/>
    </xf>
    <xf numFmtId="0" fontId="13" fillId="0" borderId="0" xfId="0" applyFont="1" applyAlignment="1">
      <alignment vertical="top" wrapText="1"/>
    </xf>
    <xf numFmtId="0" fontId="13" fillId="0" borderId="2" xfId="0" applyFont="1" applyBorder="1" applyAlignment="1">
      <alignment vertical="top"/>
    </xf>
    <xf numFmtId="0" fontId="14" fillId="0" borderId="0" xfId="0" applyFont="1" applyAlignment="1">
      <alignment vertical="top"/>
    </xf>
    <xf numFmtId="0" fontId="18" fillId="0" borderId="0" xfId="0" applyFont="1" applyAlignment="1">
      <alignment wrapText="1"/>
    </xf>
    <xf numFmtId="1" fontId="6" fillId="0" borderId="0" xfId="0" applyNumberFormat="1" applyFont="1"/>
    <xf numFmtId="0" fontId="20" fillId="8" borderId="0" xfId="0" applyFont="1" applyFill="1"/>
    <xf numFmtId="0" fontId="21" fillId="8" borderId="0" xfId="0" applyFont="1" applyFill="1" applyAlignment="1">
      <alignment wrapText="1"/>
    </xf>
    <xf numFmtId="0" fontId="4" fillId="0" borderId="0" xfId="2"/>
    <xf numFmtId="165" fontId="0" fillId="0" borderId="0" xfId="0" applyNumberFormat="1"/>
    <xf numFmtId="0" fontId="22" fillId="0" borderId="0" xfId="0" applyFont="1"/>
    <xf numFmtId="164" fontId="0" fillId="4" borderId="14" xfId="1" applyNumberFormat="1" applyFont="1" applyFill="1" applyBorder="1"/>
    <xf numFmtId="0" fontId="1" fillId="0" borderId="0" xfId="0" applyFont="1" applyAlignment="1">
      <alignment horizontal="right" vertical="center" wrapText="1"/>
    </xf>
    <xf numFmtId="0" fontId="0" fillId="0" borderId="0" xfId="0" applyAlignment="1">
      <alignment vertical="center" wrapText="1"/>
    </xf>
    <xf numFmtId="0" fontId="1" fillId="0" borderId="0" xfId="0" applyFont="1" applyAlignment="1">
      <alignment horizontal="left" vertical="center" wrapText="1"/>
    </xf>
    <xf numFmtId="0" fontId="23" fillId="0" borderId="0" xfId="0" applyFont="1"/>
    <xf numFmtId="1" fontId="0" fillId="0" borderId="8" xfId="0" applyNumberFormat="1" applyBorder="1" applyAlignment="1">
      <alignment vertical="top" wrapText="1"/>
    </xf>
    <xf numFmtId="0" fontId="24" fillId="0" borderId="0" xfId="0" applyFont="1"/>
    <xf numFmtId="0" fontId="6" fillId="9" borderId="1" xfId="0" applyFont="1" applyFill="1" applyBorder="1"/>
    <xf numFmtId="166" fontId="10" fillId="9" borderId="1" xfId="0" applyNumberFormat="1" applyFont="1" applyFill="1" applyBorder="1"/>
    <xf numFmtId="169" fontId="10" fillId="9" borderId="1" xfId="3" applyNumberFormat="1" applyFont="1" applyFill="1" applyBorder="1" applyProtection="1"/>
    <xf numFmtId="0" fontId="6" fillId="9" borderId="1" xfId="0" applyFont="1" applyFill="1" applyBorder="1" applyAlignment="1">
      <alignment wrapText="1"/>
    </xf>
    <xf numFmtId="0" fontId="10" fillId="9" borderId="1" xfId="0" applyFont="1" applyFill="1" applyBorder="1"/>
    <xf numFmtId="0" fontId="25" fillId="0" borderId="0" xfId="0" applyFont="1"/>
    <xf numFmtId="165" fontId="1" fillId="0" borderId="0" xfId="0" applyNumberFormat="1" applyFont="1"/>
    <xf numFmtId="0" fontId="12" fillId="0" borderId="10" xfId="0" applyFont="1" applyBorder="1" applyProtection="1">
      <protection locked="0"/>
    </xf>
    <xf numFmtId="0" fontId="0" fillId="0" borderId="3" xfId="0" applyBorder="1" applyProtection="1">
      <protection locked="0"/>
    </xf>
    <xf numFmtId="0" fontId="0" fillId="2" borderId="3" xfId="0" applyFill="1" applyBorder="1" applyProtection="1">
      <protection locked="0"/>
    </xf>
    <xf numFmtId="0" fontId="0" fillId="2" borderId="10" xfId="0" applyFill="1" applyBorder="1" applyProtection="1">
      <protection locked="0"/>
    </xf>
    <xf numFmtId="0" fontId="0" fillId="0" borderId="0" xfId="0" applyProtection="1">
      <protection locked="0"/>
    </xf>
    <xf numFmtId="0" fontId="9" fillId="3" borderId="13" xfId="5" applyFill="1" applyBorder="1" applyProtection="1">
      <protection locked="0"/>
    </xf>
    <xf numFmtId="0" fontId="0" fillId="3" borderId="0" xfId="0" applyFill="1" applyProtection="1">
      <protection locked="0"/>
    </xf>
    <xf numFmtId="0" fontId="0" fillId="3" borderId="14" xfId="0" applyFill="1" applyBorder="1" applyProtection="1">
      <protection locked="0"/>
    </xf>
    <xf numFmtId="0" fontId="1" fillId="0" borderId="9" xfId="0" applyFont="1" applyBorder="1" applyProtection="1">
      <protection locked="0"/>
    </xf>
    <xf numFmtId="1" fontId="0" fillId="0" borderId="0" xfId="0" applyNumberFormat="1" applyProtection="1">
      <protection locked="0"/>
    </xf>
    <xf numFmtId="1" fontId="0" fillId="0" borderId="9" xfId="0" applyNumberFormat="1" applyBorder="1" applyProtection="1">
      <protection locked="0"/>
    </xf>
    <xf numFmtId="0" fontId="0" fillId="0" borderId="9" xfId="0" applyBorder="1" applyProtection="1">
      <protection locked="0"/>
    </xf>
    <xf numFmtId="1" fontId="5" fillId="0" borderId="0" xfId="0" applyNumberFormat="1" applyFont="1" applyProtection="1">
      <protection locked="0"/>
    </xf>
    <xf numFmtId="0" fontId="5" fillId="0" borderId="9" xfId="0" applyFont="1" applyBorder="1" applyAlignment="1" applyProtection="1">
      <alignment vertical="top" wrapText="1"/>
      <protection locked="0"/>
    </xf>
    <xf numFmtId="168" fontId="1" fillId="0" borderId="0" xfId="0" applyNumberFormat="1" applyFont="1" applyProtection="1">
      <protection locked="0"/>
    </xf>
    <xf numFmtId="0" fontId="0" fillId="0" borderId="9" xfId="0" applyBorder="1" applyAlignment="1" applyProtection="1">
      <alignment horizontal="left" vertical="top" wrapText="1"/>
      <protection locked="0"/>
    </xf>
    <xf numFmtId="0" fontId="0" fillId="0" borderId="10" xfId="0" applyBorder="1" applyProtection="1">
      <protection locked="0"/>
    </xf>
    <xf numFmtId="0" fontId="9" fillId="2" borderId="12" xfId="5" applyFill="1" applyBorder="1" applyProtection="1">
      <protection locked="0"/>
    </xf>
    <xf numFmtId="0" fontId="0" fillId="2" borderId="0" xfId="0" applyFill="1" applyProtection="1">
      <protection locked="0"/>
    </xf>
    <xf numFmtId="0" fontId="0" fillId="2" borderId="9" xfId="0" applyFill="1" applyBorder="1" applyProtection="1">
      <protection locked="0"/>
    </xf>
    <xf numFmtId="0" fontId="5" fillId="0" borderId="9" xfId="0" applyFont="1" applyBorder="1" applyProtection="1">
      <protection locked="0"/>
    </xf>
    <xf numFmtId="164" fontId="0" fillId="0" borderId="0" xfId="1" applyNumberFormat="1" applyFont="1" applyFill="1" applyProtection="1">
      <protection locked="0"/>
    </xf>
    <xf numFmtId="166" fontId="1" fillId="2" borderId="0" xfId="0" applyNumberFormat="1" applyFont="1" applyFill="1" applyProtection="1">
      <protection locked="0"/>
    </xf>
    <xf numFmtId="0" fontId="0" fillId="0" borderId="15" xfId="0" applyBorder="1" applyProtection="1">
      <protection locked="0"/>
    </xf>
    <xf numFmtId="164" fontId="0" fillId="0" borderId="16" xfId="1" applyNumberFormat="1" applyFont="1" applyFill="1" applyBorder="1" applyProtection="1">
      <protection locked="0"/>
    </xf>
    <xf numFmtId="164" fontId="0" fillId="0" borderId="15" xfId="1" applyNumberFormat="1" applyFont="1" applyFill="1" applyBorder="1" applyProtection="1">
      <protection locked="0"/>
    </xf>
    <xf numFmtId="166" fontId="1" fillId="0" borderId="0" xfId="0" applyNumberFormat="1" applyFont="1" applyProtection="1">
      <protection locked="0"/>
    </xf>
    <xf numFmtId="0" fontId="15" fillId="0" borderId="0" xfId="0" applyFont="1" applyProtection="1">
      <protection locked="0"/>
    </xf>
    <xf numFmtId="0" fontId="16" fillId="0" borderId="0" xfId="0" applyFont="1" applyProtection="1">
      <protection locked="0"/>
    </xf>
    <xf numFmtId="0" fontId="1" fillId="0" borderId="0" xfId="0" applyFont="1" applyProtection="1">
      <protection locked="0"/>
    </xf>
    <xf numFmtId="0" fontId="6" fillId="0" borderId="1" xfId="0" applyFont="1" applyBorder="1" applyProtection="1">
      <protection locked="0"/>
    </xf>
    <xf numFmtId="9" fontId="6" fillId="0" borderId="1" xfId="3" applyFont="1" applyBorder="1" applyProtection="1">
      <protection locked="0"/>
    </xf>
    <xf numFmtId="0" fontId="6" fillId="0" borderId="0" xfId="0" applyFont="1" applyProtection="1">
      <protection locked="0"/>
    </xf>
    <xf numFmtId="9" fontId="6" fillId="0" borderId="0" xfId="3" applyFont="1" applyBorder="1" applyProtection="1">
      <protection locked="0"/>
    </xf>
    <xf numFmtId="0" fontId="6" fillId="3" borderId="0" xfId="0" applyFont="1" applyFill="1"/>
    <xf numFmtId="0" fontId="26" fillId="0" borderId="0" xfId="0" applyFont="1" applyAlignment="1">
      <alignment vertical="center"/>
    </xf>
    <xf numFmtId="0" fontId="10" fillId="10" borderId="0" xfId="0" applyFont="1" applyFill="1" applyAlignment="1">
      <alignment vertical="top" wrapText="1"/>
    </xf>
    <xf numFmtId="0" fontId="18" fillId="0" borderId="0" xfId="0" applyFont="1" applyAlignment="1">
      <alignment vertical="top" wrapText="1"/>
    </xf>
    <xf numFmtId="0" fontId="12" fillId="0" borderId="0" xfId="0" applyFont="1" applyAlignment="1">
      <alignment vertical="top" wrapText="1"/>
    </xf>
    <xf numFmtId="0" fontId="12" fillId="0" borderId="0" xfId="0" quotePrefix="1" applyFont="1" applyAlignment="1">
      <alignment horizontal="left" vertical="top" wrapText="1" indent="1"/>
    </xf>
    <xf numFmtId="0" fontId="12" fillId="0" borderId="0" xfId="0" applyFont="1" applyAlignment="1">
      <alignment horizontal="left" vertical="top" wrapText="1" indent="1"/>
    </xf>
    <xf numFmtId="0" fontId="18" fillId="0" borderId="0" xfId="0" applyFont="1" applyAlignment="1">
      <alignment horizontal="left" vertical="top" wrapText="1"/>
    </xf>
  </cellXfs>
  <cellStyles count="6">
    <cellStyle name="Hyperlinkki" xfId="2" builtinId="8"/>
    <cellStyle name="Normaali" xfId="0" builtinId="0"/>
    <cellStyle name="Otsikko 2" xfId="4" builtinId="17"/>
    <cellStyle name="Otsikko 3" xfId="5" builtinId="18"/>
    <cellStyle name="Pilkku" xfId="1" builtinId="3"/>
    <cellStyle name="Prosenttia" xfId="3" builtinId="5"/>
  </cellStyles>
  <dxfs count="17">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font>
        <strike val="0"/>
        <outline val="0"/>
        <shadow val="0"/>
        <u val="none"/>
        <vertAlign val="baseline"/>
        <sz val="14"/>
        <color theme="1"/>
        <name val="Calibri"/>
        <family val="2"/>
        <scheme val="minor"/>
      </font>
    </dxf>
    <dxf>
      <alignment vertical="top" textRotation="0" indent="0" justifyLastLine="0" shrinkToFit="0" readingOrder="0"/>
    </dxf>
    <dxf>
      <alignment vertical="top" textRotation="0" indent="0" justifyLastLine="0" shrinkToFit="0" readingOrder="0"/>
    </dxf>
    <dxf>
      <alignment vertical="top" textRotation="0" indent="0" justifyLastLine="0" shrinkToFit="0" readingOrder="0"/>
    </dxf>
    <dxf>
      <numFmt numFmtId="1" formatCode="0"/>
    </dxf>
    <dxf>
      <alignment horizontal="general" vertical="top" textRotation="0" wrapText="0" indent="0" justifyLastLine="0" shrinkToFit="0" readingOrder="0"/>
    </dxf>
    <dxf>
      <numFmt numFmtId="1" formatCode="0"/>
    </dxf>
    <dxf>
      <alignment vertical="top" textRotation="0" indent="0" justifyLastLine="0" shrinkToFit="0" readingOrder="0"/>
    </dxf>
    <dxf>
      <alignment horizontal="right" vertical="bottom" textRotation="0" wrapText="0" indent="1" justifyLastLine="0" shrinkToFit="0" readingOrder="0"/>
    </dxf>
    <dxf>
      <alignment vertical="top" textRotation="0" indent="0" justifyLastLine="0" shrinkToFit="0" readingOrder="0"/>
    </dxf>
    <dxf>
      <alignment vertical="top" textRotation="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chartsheet" Target="chartsheets/sheet1.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4.xml"/><Relationship Id="rId10" Type="http://schemas.openxmlformats.org/officeDocument/2006/relationships/calcChain" Target="calcChain.xml"/><Relationship Id="rId4" Type="http://schemas.openxmlformats.org/officeDocument/2006/relationships/worksheet" Target="worksheets/sheet3.xml"/><Relationship Id="rId9" Type="http://schemas.openxmlformats.org/officeDocument/2006/relationships/sheetMetadata" Target="metadata.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i-FI"/>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r>
              <a:rPr lang="fi-FI" sz="1800" b="0" i="0" u="none" strike="noStrike" kern="1200" spc="0" baseline="0">
                <a:solidFill>
                  <a:sysClr val="windowText" lastClr="000000">
                    <a:lumMod val="65000"/>
                    <a:lumOff val="35000"/>
                  </a:sysClr>
                </a:solidFill>
              </a:rPr>
              <a:t>Pajuapilakuivikkeen tuotanto - </a:t>
            </a:r>
            <a:r>
              <a:rPr lang="fi-FI" sz="1800"/>
              <a:t>Kumulatiivinen</a:t>
            </a:r>
            <a:r>
              <a:rPr lang="fi-FI" sz="1800" baseline="0"/>
              <a:t> diskontattu kassavirta </a:t>
            </a:r>
            <a:endParaRPr lang="fi-FI" sz="1800"/>
          </a:p>
        </c:rich>
      </c:tx>
      <c:overlay val="0"/>
      <c:spPr>
        <a:noFill/>
        <a:ln>
          <a:noFill/>
        </a:ln>
        <a:effectLst/>
      </c:spPr>
      <c:txPr>
        <a:bodyPr rot="0" spcFirstLastPara="1" vertOverflow="ellipsis" vert="horz" wrap="square" anchor="ctr" anchorCtr="1"/>
        <a:lstStyle/>
        <a:p>
          <a:pPr>
            <a:defRPr sz="1800" b="0" i="0" u="none" strike="noStrike" kern="1200" spc="0" baseline="0">
              <a:solidFill>
                <a:schemeClr val="tx1">
                  <a:lumMod val="65000"/>
                  <a:lumOff val="35000"/>
                </a:schemeClr>
              </a:solidFill>
              <a:latin typeface="+mn-lt"/>
              <a:ea typeface="+mn-ea"/>
              <a:cs typeface="+mn-cs"/>
            </a:defRPr>
          </a:pPr>
          <a:endParaRPr lang="fi-FI"/>
        </a:p>
      </c:txPr>
    </c:title>
    <c:autoTitleDeleted val="0"/>
    <c:plotArea>
      <c:layout>
        <c:manualLayout>
          <c:layoutTarget val="inner"/>
          <c:xMode val="edge"/>
          <c:yMode val="edge"/>
          <c:x val="0.13272799166631391"/>
          <c:y val="0.12115085776092224"/>
          <c:w val="0.83438781167438747"/>
          <c:h val="0.81223147907282411"/>
        </c:manualLayout>
      </c:layout>
      <c:scatterChart>
        <c:scatterStyle val="lineMarker"/>
        <c:varyColors val="0"/>
        <c:ser>
          <c:idx val="0"/>
          <c:order val="0"/>
          <c:spPr>
            <a:ln w="28575" cap="rnd">
              <a:solidFill>
                <a:schemeClr val="accent1"/>
              </a:solidFill>
              <a:round/>
            </a:ln>
            <a:effectLst/>
          </c:spPr>
          <c:marker>
            <c:symbol val="circle"/>
            <c:size val="5"/>
            <c:spPr>
              <a:solidFill>
                <a:schemeClr val="accent1"/>
              </a:solidFill>
              <a:ln w="9525">
                <a:solidFill>
                  <a:schemeClr val="accent1"/>
                </a:solidFill>
              </a:ln>
              <a:effectLst/>
            </c:spPr>
          </c:marker>
          <c:xVal>
            <c:numRef>
              <c:f>'Kassavirta_paju-apilakomposti'!$B$15:$Y$15</c:f>
              <c:numCache>
                <c:formatCode>General</c:formatCode>
                <c:ptCount val="24"/>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numCache>
            </c:numRef>
          </c:xVal>
          <c:yVal>
            <c:numRef>
              <c:f>'Kassavirta_paju-apilakomposti'!$B$59:$Y$59</c:f>
              <c:numCache>
                <c:formatCode>_-* #\ ##0_-;\-* #\ ##0_-;_-* "-"??_-;_-@_-</c:formatCode>
                <c:ptCount val="24"/>
                <c:pt idx="0">
                  <c:v>-89429.73529411765</c:v>
                </c:pt>
                <c:pt idx="1">
                  <c:v>-200776.66093229747</c:v>
                </c:pt>
                <c:pt idx="2">
                  <c:v>-312332.75657810294</c:v>
                </c:pt>
                <c:pt idx="3">
                  <c:v>-423825.61391870317</c:v>
                </c:pt>
                <c:pt idx="4">
                  <c:v>-352698.1090226504</c:v>
                </c:pt>
                <c:pt idx="5">
                  <c:v>-268183.73303077981</c:v>
                </c:pt>
                <c:pt idx="6">
                  <c:v>-187693.85113376021</c:v>
                </c:pt>
                <c:pt idx="7">
                  <c:v>-111036.82075564632</c:v>
                </c:pt>
                <c:pt idx="8">
                  <c:v>-38030.125157442599</c:v>
                </c:pt>
                <c:pt idx="9">
                  <c:v>31500.061126560948</c:v>
                </c:pt>
                <c:pt idx="10">
                  <c:v>97719.286158945266</c:v>
                </c:pt>
                <c:pt idx="11">
                  <c:v>160785.21476121605</c:v>
                </c:pt>
                <c:pt idx="12">
                  <c:v>220848.00390623586</c:v>
                </c:pt>
                <c:pt idx="13">
                  <c:v>278050.66023482615</c:v>
                </c:pt>
                <c:pt idx="14">
                  <c:v>332529.38054776925</c:v>
                </c:pt>
                <c:pt idx="15">
                  <c:v>384413.87608390558</c:v>
                </c:pt>
                <c:pt idx="16">
                  <c:v>433827.68135641632</c:v>
                </c:pt>
                <c:pt idx="17">
                  <c:v>480888.44828261703</c:v>
                </c:pt>
                <c:pt idx="18">
                  <c:v>525708.22630757012</c:v>
                </c:pt>
                <c:pt idx="19">
                  <c:v>568393.72918847785</c:v>
                </c:pt>
                <c:pt idx="20">
                  <c:v>597433.95900865202</c:v>
                </c:pt>
                <c:pt idx="21">
                  <c:v>627272.37067812181</c:v>
                </c:pt>
                <c:pt idx="22">
                  <c:v>657767.09601663635</c:v>
                </c:pt>
                <c:pt idx="23">
                  <c:v>695361.43711272255</c:v>
                </c:pt>
              </c:numCache>
            </c:numRef>
          </c:yVal>
          <c:smooth val="0"/>
          <c:extLst>
            <c:ext xmlns:c16="http://schemas.microsoft.com/office/drawing/2014/chart" uri="{C3380CC4-5D6E-409C-BE32-E72D297353CC}">
              <c16:uniqueId val="{00000000-1DBD-4B8A-BD0B-70BACE00821C}"/>
            </c:ext>
          </c:extLst>
        </c:ser>
        <c:dLbls>
          <c:showLegendKey val="0"/>
          <c:showVal val="0"/>
          <c:showCatName val="0"/>
          <c:showSerName val="0"/>
          <c:showPercent val="0"/>
          <c:showBubbleSize val="0"/>
        </c:dLbls>
        <c:axId val="1529386416"/>
        <c:axId val="104034992"/>
      </c:scatterChart>
      <c:valAx>
        <c:axId val="1529386416"/>
        <c:scaling>
          <c:orientation val="minMax"/>
        </c:scaling>
        <c:delete val="0"/>
        <c:axPos val="b"/>
        <c:title>
          <c:tx>
            <c:rich>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fi-FI" sz="1400"/>
                  <a:t>Vuodet</a:t>
                </a:r>
              </a:p>
            </c:rich>
          </c:tx>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fi-FI"/>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fi-FI"/>
          </a:p>
        </c:txPr>
        <c:crossAx val="104034992"/>
        <c:crosses val="autoZero"/>
        <c:crossBetween val="midCat"/>
      </c:valAx>
      <c:valAx>
        <c:axId val="10403499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r>
                  <a:rPr lang="fi-FI" sz="1400"/>
                  <a:t>€</a:t>
                </a:r>
              </a:p>
            </c:rich>
          </c:tx>
          <c:overlay val="0"/>
          <c:spPr>
            <a:noFill/>
            <a:ln>
              <a:noFill/>
            </a:ln>
            <a:effectLst/>
          </c:spPr>
          <c:txPr>
            <a:bodyPr rot="-54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fi-FI"/>
            </a:p>
          </c:txPr>
        </c:title>
        <c:numFmt formatCode="_-* #\ ##0_-;\-* #\ ##0_-;_-* &quot;-&quot;??_-;_-@_-"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fi-FI"/>
          </a:p>
        </c:txPr>
        <c:crossAx val="1529386416"/>
        <c:crosses val="autoZero"/>
        <c:crossBetween val="midCat"/>
      </c:valAx>
      <c:spPr>
        <a:solidFill>
          <a:sysClr val="window" lastClr="FFFFFF"/>
        </a:solid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accent5">
        <a:lumMod val="20000"/>
        <a:lumOff val="80000"/>
      </a:schemeClr>
    </a:solidFill>
    <a:ln w="9525" cap="flat" cmpd="sng" algn="ctr">
      <a:solidFill>
        <a:schemeClr val="tx1">
          <a:lumMod val="15000"/>
          <a:lumOff val="85000"/>
        </a:schemeClr>
      </a:solidFill>
      <a:round/>
    </a:ln>
    <a:effectLst/>
  </c:spPr>
  <c:txPr>
    <a:bodyPr/>
    <a:lstStyle/>
    <a:p>
      <a:pPr>
        <a:defRPr/>
      </a:pPr>
      <a:endParaRPr lang="fi-FI"/>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2.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CA6EF37C-D5EC-4D5F-A797-8FCBFB603CE6}">
  <sheetPr/>
  <sheetViews>
    <sheetView zoomScale="115"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36</xdr:col>
      <xdr:colOff>571500</xdr:colOff>
      <xdr:row>87</xdr:row>
      <xdr:rowOff>119063</xdr:rowOff>
    </xdr:from>
    <xdr:to>
      <xdr:col>55</xdr:col>
      <xdr:colOff>363594</xdr:colOff>
      <xdr:row>109</xdr:row>
      <xdr:rowOff>28467</xdr:rowOff>
    </xdr:to>
    <xdr:pic>
      <xdr:nvPicPr>
        <xdr:cNvPr id="3" name="Kuva 2">
          <a:extLst>
            <a:ext uri="{FF2B5EF4-FFF2-40B4-BE49-F238E27FC236}">
              <a16:creationId xmlns:a16="http://schemas.microsoft.com/office/drawing/2014/main" id="{6CCAC12C-2082-4D67-8093-A7BDF6ED6B33}"/>
            </a:ext>
          </a:extLst>
        </xdr:cNvPr>
        <xdr:cNvPicPr>
          <a:picLocks noChangeAspect="1"/>
        </xdr:cNvPicPr>
      </xdr:nvPicPr>
      <xdr:blipFill>
        <a:blip xmlns:r="http://schemas.openxmlformats.org/officeDocument/2006/relationships" r:embed="rId1"/>
        <a:stretch>
          <a:fillRect/>
        </a:stretch>
      </xdr:blipFill>
      <xdr:spPr>
        <a:xfrm>
          <a:off x="30508575" y="20886738"/>
          <a:ext cx="11879319" cy="388132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absoluteAnchor>
    <xdr:pos x="0" y="0"/>
    <xdr:ext cx="13953506" cy="9116786"/>
    <xdr:graphicFrame macro="">
      <xdr:nvGraphicFramePr>
        <xdr:cNvPr id="2" name="Kaavio 1">
          <a:extLst>
            <a:ext uri="{FF2B5EF4-FFF2-40B4-BE49-F238E27FC236}">
              <a16:creationId xmlns:a16="http://schemas.microsoft.com/office/drawing/2014/main" id="{7809A5F9-D39C-9AC5-8769-02529B31F9AE}"/>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6EB46C4-AEAE-4326-975A-7E497E703CD1}" name="Taulukko2" displayName="Taulukko2" ref="A15:F47" totalsRowShown="0" dataDxfId="16">
  <autoFilter ref="A15:F47" xr:uid="{B6EB46C4-AEAE-4326-975A-7E497E703CD1}"/>
  <tableColumns count="6">
    <tableColumn id="1" xr3:uid="{473FBCE5-A460-4B0D-A834-753DDB85BA6D}" name="Työvaihe" dataDxfId="15" totalsRowDxfId="14"/>
    <tableColumn id="2" xr3:uid="{7E9045F0-405A-4B57-88B8-EC048331EF1B}" name="Kustannus" dataDxfId="13" totalsRowDxfId="12"/>
    <tableColumn id="4" xr3:uid="{E1C0629E-FD38-4F4F-B07C-1A4488117706}" name="Yksikkö" dataDxfId="11" totalsRowDxfId="10"/>
    <tableColumn id="5" xr3:uid="{F62040EF-DB8D-4A9B-BA5F-59E6668E4D74}" name="Lähde" dataDxfId="9"/>
    <tableColumn id="3" xr3:uid="{7D9A243D-7265-456B-B3EA-187F036082D1}" name="Lisätietoa" dataDxfId="8"/>
    <tableColumn id="6" xr3:uid="{B1DDF7A1-747A-45B9-B703-8FEA08BA4663}" name="Vaihtoehtoisia kustannustietoja" dataDxfId="7"/>
  </tableColumns>
  <tableStyleInfo name="TableStyleMedium17" showFirstColumn="1"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8BDAEEF0-68BB-4C6C-BA5A-4AA25CBAF442}" name="Taulukko36" displayName="Taulukko36" ref="A4:C12" totalsRowShown="0">
  <autoFilter ref="A4:C12" xr:uid="{8BDAEEF0-68BB-4C6C-BA5A-4AA25CBAF442}"/>
  <tableColumns count="3">
    <tableColumn id="1" xr3:uid="{35E1E8F3-83E5-49CB-BAFA-59D97237ABC7}" name="Lähtötieto"/>
    <tableColumn id="2" xr3:uid="{8CDE0237-7F79-4086-9907-231404EC4638}" name="Arvo"/>
    <tableColumn id="3" xr3:uid="{8817FBE7-65B9-43DE-881E-6445D0D7330C}" name="Yksikkö"/>
  </tableColumns>
  <tableStyleInfo name="TableStyleLight1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48C33DBF-389B-457D-8BEC-7B5D857607B4}" name="Taulukko4" displayName="Taulukko4" ref="A3:E4" totalsRowShown="0" headerRowDxfId="6" dataDxfId="5">
  <autoFilter ref="A3:E4" xr:uid="{48C33DBF-389B-457D-8BEC-7B5D857607B4}"/>
  <tableColumns count="5">
    <tableColumn id="1" xr3:uid="{36E7EAE4-23FB-4455-8889-C748A7FC8950}" name="Tuotot" dataDxfId="4"/>
    <tableColumn id="2" xr3:uid="{0D5FE409-7036-4F95-AFF0-84089791F692}" name="Yksikköhinta" dataDxfId="3"/>
    <tableColumn id="3" xr3:uid="{EB26A625-C0C9-4D4B-9A36-615C1AC9583A}" name="Yksikköä (kpl)" dataDxfId="2"/>
    <tableColumn id="4" xr3:uid="{6E55F553-263D-4B5F-9025-CC705DEE699A}" name="Yhteensä" dataDxfId="1">
      <calculatedColumnFormula>B4*C4</calculatedColumnFormula>
    </tableColumn>
    <tableColumn id="5" xr3:uid="{FB61D2CF-FF5E-45ED-85A8-4A8DF538E92E}" name="Yksikkö" dataDxfId="0"/>
  </tableColumns>
  <tableStyleInfo name="TableStyleMedium4"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hyperlink" Target="https://nyvraa.dk/media/3mrjxkbx/price-list-zoo-n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6129A-8380-40C6-BFC8-BE99727FD415}">
  <dimension ref="A1:A31"/>
  <sheetViews>
    <sheetView tabSelected="1" topLeftCell="A5" workbookViewId="0">
      <selection activeCell="A20" sqref="A20"/>
    </sheetView>
  </sheetViews>
  <sheetFormatPr defaultRowHeight="14.5" x14ac:dyDescent="0.35"/>
  <cols>
    <col min="1" max="1" width="205.6328125" customWidth="1"/>
  </cols>
  <sheetData>
    <row r="1" spans="1:1" ht="17.5" x14ac:dyDescent="0.35">
      <c r="A1" s="127" t="s">
        <v>153</v>
      </c>
    </row>
    <row r="3" spans="1:1" ht="18.5" x14ac:dyDescent="0.35">
      <c r="A3" s="128" t="s">
        <v>154</v>
      </c>
    </row>
    <row r="4" spans="1:1" ht="15.5" x14ac:dyDescent="0.35">
      <c r="A4" s="129" t="s">
        <v>155</v>
      </c>
    </row>
    <row r="5" spans="1:1" ht="31" x14ac:dyDescent="0.35">
      <c r="A5" s="129" t="s">
        <v>156</v>
      </c>
    </row>
    <row r="6" spans="1:1" x14ac:dyDescent="0.35">
      <c r="A6" s="5"/>
    </row>
    <row r="7" spans="1:1" ht="18.5" x14ac:dyDescent="0.35">
      <c r="A7" s="128" t="s">
        <v>157</v>
      </c>
    </row>
    <row r="8" spans="1:1" ht="15.5" x14ac:dyDescent="0.35">
      <c r="A8" s="129" t="s">
        <v>170</v>
      </c>
    </row>
    <row r="9" spans="1:1" ht="15.5" x14ac:dyDescent="0.35">
      <c r="A9" s="129" t="s">
        <v>158</v>
      </c>
    </row>
    <row r="10" spans="1:1" x14ac:dyDescent="0.35">
      <c r="A10" s="5"/>
    </row>
    <row r="11" spans="1:1" ht="18.5" x14ac:dyDescent="0.35">
      <c r="A11" s="128" t="s">
        <v>159</v>
      </c>
    </row>
    <row r="12" spans="1:1" ht="15.5" x14ac:dyDescent="0.35">
      <c r="A12" s="129" t="s">
        <v>160</v>
      </c>
    </row>
    <row r="13" spans="1:1" ht="31" x14ac:dyDescent="0.35">
      <c r="A13" s="131" t="s">
        <v>171</v>
      </c>
    </row>
    <row r="14" spans="1:1" ht="31" x14ac:dyDescent="0.35">
      <c r="A14" s="132" t="s">
        <v>172</v>
      </c>
    </row>
    <row r="15" spans="1:1" ht="15.5" x14ac:dyDescent="0.35">
      <c r="A15" s="133" t="s">
        <v>177</v>
      </c>
    </row>
    <row r="16" spans="1:1" ht="15.5" x14ac:dyDescent="0.35">
      <c r="A16" s="129" t="s">
        <v>161</v>
      </c>
    </row>
    <row r="17" spans="1:1" x14ac:dyDescent="0.35">
      <c r="A17" s="5"/>
    </row>
    <row r="18" spans="1:1" ht="18.5" x14ac:dyDescent="0.35">
      <c r="A18" s="128" t="s">
        <v>162</v>
      </c>
    </row>
    <row r="19" spans="1:1" ht="16.5" customHeight="1" x14ac:dyDescent="0.35">
      <c r="A19" s="129" t="s">
        <v>173</v>
      </c>
    </row>
    <row r="20" spans="1:1" ht="31" x14ac:dyDescent="0.35">
      <c r="A20" s="129" t="s">
        <v>163</v>
      </c>
    </row>
    <row r="21" spans="1:1" ht="15.5" x14ac:dyDescent="0.35">
      <c r="A21" s="129" t="s">
        <v>164</v>
      </c>
    </row>
    <row r="22" spans="1:1" x14ac:dyDescent="0.35">
      <c r="A22" s="5"/>
    </row>
    <row r="23" spans="1:1" ht="18.5" x14ac:dyDescent="0.35">
      <c r="A23" s="128" t="s">
        <v>165</v>
      </c>
    </row>
    <row r="24" spans="1:1" ht="31" x14ac:dyDescent="0.35">
      <c r="A24" s="130" t="s">
        <v>174</v>
      </c>
    </row>
    <row r="25" spans="1:1" ht="31" x14ac:dyDescent="0.35">
      <c r="A25" s="130" t="s">
        <v>175</v>
      </c>
    </row>
    <row r="26" spans="1:1" ht="31" x14ac:dyDescent="0.35">
      <c r="A26" s="130" t="s">
        <v>176</v>
      </c>
    </row>
    <row r="27" spans="1:1" x14ac:dyDescent="0.35">
      <c r="A27" s="5"/>
    </row>
    <row r="28" spans="1:1" ht="18.5" x14ac:dyDescent="0.35">
      <c r="A28" s="128" t="s">
        <v>166</v>
      </c>
    </row>
    <row r="29" spans="1:1" ht="31" x14ac:dyDescent="0.35">
      <c r="A29" s="129" t="s">
        <v>167</v>
      </c>
    </row>
    <row r="30" spans="1:1" ht="31" x14ac:dyDescent="0.35">
      <c r="A30" s="129" t="s">
        <v>168</v>
      </c>
    </row>
    <row r="31" spans="1:1" ht="31" x14ac:dyDescent="0.35">
      <c r="A31" s="129" t="s">
        <v>169</v>
      </c>
    </row>
  </sheetData>
  <sheetProtection algorithmName="SHA-512" hashValue="BN1yNH+r42F36R5xkBSfW2adBmbyErRkwgOr+aG2DkMWQbXWKphm9qP8Kqr7GD0MGhsQUD1gP9Xjn3RVXvMi3w==" saltValue="OBPwbrYyiVdQg9ZZwOjglw==" spinCount="100000" sheet="1" formatCells="0" formatColumns="0" formatRows="0" insertColumns="0" insertRows="0" insertHyperlinks="0" deleteColumns="0" deleteRows="0" sort="0" autoFilter="0" pivotTables="0"/>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63180-1D97-4A89-9958-B0E24ADC61AC}">
  <dimension ref="A1:AG145"/>
  <sheetViews>
    <sheetView topLeftCell="A2" zoomScale="85" zoomScaleNormal="85" workbookViewId="0">
      <selection activeCell="F27" sqref="F27"/>
    </sheetView>
  </sheetViews>
  <sheetFormatPr defaultRowHeight="14.5" x14ac:dyDescent="0.35"/>
  <cols>
    <col min="1" max="1" width="56" customWidth="1"/>
    <col min="2" max="2" width="15.36328125" customWidth="1"/>
    <col min="3" max="4" width="12.54296875" customWidth="1"/>
    <col min="5" max="5" width="14.1796875" customWidth="1"/>
    <col min="6" max="6" width="13.1796875" customWidth="1"/>
    <col min="7" max="7" width="10.453125" customWidth="1"/>
    <col min="8" max="8" width="13.6328125" customWidth="1"/>
    <col min="9" max="9" width="13.54296875" customWidth="1"/>
    <col min="10" max="10" width="13.1796875" customWidth="1"/>
    <col min="11" max="11" width="10.1796875" customWidth="1"/>
    <col min="12" max="12" width="10.54296875" customWidth="1"/>
    <col min="13" max="13" width="13" customWidth="1"/>
    <col min="14" max="14" width="11.54296875" customWidth="1"/>
    <col min="15" max="15" width="10.453125" customWidth="1"/>
    <col min="16" max="16" width="9.1796875" customWidth="1"/>
    <col min="17" max="17" width="8.81640625" customWidth="1"/>
    <col min="18" max="18" width="12" customWidth="1"/>
    <col min="19" max="24" width="10.08984375" bestFit="1" customWidth="1"/>
    <col min="25" max="25" width="12.26953125" customWidth="1"/>
    <col min="26" max="26" width="23.81640625" customWidth="1"/>
    <col min="27" max="27" width="24.36328125" customWidth="1"/>
    <col min="28" max="28" width="8.81640625" customWidth="1"/>
    <col min="29" max="31" width="9" bestFit="1" customWidth="1"/>
    <col min="32" max="39" width="10" bestFit="1" customWidth="1"/>
    <col min="40" max="40" width="10.54296875" bestFit="1" customWidth="1"/>
    <col min="42" max="42" width="10.54296875" bestFit="1" customWidth="1"/>
  </cols>
  <sheetData>
    <row r="1" spans="1:25" ht="23.5" x14ac:dyDescent="0.55000000000000004">
      <c r="A1" s="49" t="s">
        <v>146</v>
      </c>
      <c r="B1" s="48"/>
      <c r="C1" s="48"/>
      <c r="D1" s="48"/>
      <c r="E1" s="48"/>
      <c r="F1" s="48"/>
      <c r="O1" s="23"/>
    </row>
    <row r="2" spans="1:25" ht="18.5" x14ac:dyDescent="0.45">
      <c r="A2" s="24" t="s">
        <v>147</v>
      </c>
      <c r="O2" s="23"/>
    </row>
    <row r="3" spans="1:25" ht="23.5" x14ac:dyDescent="0.55000000000000004">
      <c r="A3" s="119"/>
      <c r="B3" s="120"/>
      <c r="C3" s="46"/>
      <c r="D3" s="46"/>
      <c r="E3" s="46"/>
      <c r="P3" s="33"/>
    </row>
    <row r="4" spans="1:25" x14ac:dyDescent="0.35">
      <c r="A4" s="121" t="s">
        <v>38</v>
      </c>
      <c r="B4" s="96"/>
    </row>
    <row r="5" spans="1:25" ht="18.5" x14ac:dyDescent="0.45">
      <c r="A5" s="122" t="s">
        <v>68</v>
      </c>
      <c r="B5" s="123">
        <v>0.05</v>
      </c>
    </row>
    <row r="6" spans="1:25" ht="18.5" x14ac:dyDescent="0.45">
      <c r="A6" s="124"/>
      <c r="B6" s="125"/>
    </row>
    <row r="7" spans="1:25" ht="31.5" customHeight="1" x14ac:dyDescent="0.5">
      <c r="A7" s="90" t="s">
        <v>145</v>
      </c>
    </row>
    <row r="8" spans="1:25" ht="18.5" x14ac:dyDescent="0.45">
      <c r="A8" s="85" t="s">
        <v>143</v>
      </c>
      <c r="B8" s="86">
        <f>NPV(B5,C51:Y51)+B51</f>
        <v>695361.43711272185</v>
      </c>
      <c r="C8" s="85"/>
    </row>
    <row r="9" spans="1:25" ht="18.5" x14ac:dyDescent="0.45">
      <c r="A9" s="85" t="s">
        <v>144</v>
      </c>
      <c r="B9" s="87">
        <f>IRR(B51:Y51)</f>
        <v>0.17220297837990639</v>
      </c>
      <c r="C9" s="85"/>
    </row>
    <row r="10" spans="1:25" ht="18.5" x14ac:dyDescent="0.45">
      <c r="A10" s="88" t="s">
        <v>61</v>
      </c>
      <c r="B10" s="89" cm="1">
        <f t="array" ref="B10">MATCH(TRUE,B59:Y59&gt;0,0)-1</f>
        <v>9</v>
      </c>
      <c r="C10" s="85" t="s">
        <v>37</v>
      </c>
      <c r="O10" s="23"/>
    </row>
    <row r="13" spans="1:25" ht="24.75" customHeight="1" thickBot="1" x14ac:dyDescent="0.5">
      <c r="A13" s="28" t="s">
        <v>152</v>
      </c>
    </row>
    <row r="14" spans="1:25" ht="15" thickTop="1" x14ac:dyDescent="0.35">
      <c r="A14" s="10"/>
      <c r="B14" t="s">
        <v>39</v>
      </c>
    </row>
    <row r="15" spans="1:25" s="96" customFormat="1" ht="15.5" x14ac:dyDescent="0.35">
      <c r="A15" s="92"/>
      <c r="B15" s="93">
        <v>0</v>
      </c>
      <c r="C15" s="93">
        <v>1</v>
      </c>
      <c r="D15" s="93">
        <v>2</v>
      </c>
      <c r="E15" s="93">
        <v>3</v>
      </c>
      <c r="F15" s="94">
        <v>4</v>
      </c>
      <c r="G15" s="93">
        <v>5</v>
      </c>
      <c r="H15" s="93">
        <v>6</v>
      </c>
      <c r="I15" s="93">
        <v>7</v>
      </c>
      <c r="J15" s="94">
        <v>8</v>
      </c>
      <c r="K15" s="93">
        <v>9</v>
      </c>
      <c r="L15" s="93">
        <v>10</v>
      </c>
      <c r="M15" s="93">
        <v>11</v>
      </c>
      <c r="N15" s="94">
        <v>12</v>
      </c>
      <c r="O15" s="93">
        <v>13</v>
      </c>
      <c r="P15" s="93">
        <v>14</v>
      </c>
      <c r="Q15" s="93">
        <v>15</v>
      </c>
      <c r="R15" s="94">
        <v>16</v>
      </c>
      <c r="S15" s="93">
        <v>17</v>
      </c>
      <c r="T15" s="93">
        <v>18</v>
      </c>
      <c r="U15" s="93">
        <v>19</v>
      </c>
      <c r="V15" s="94">
        <v>20</v>
      </c>
      <c r="W15" s="93">
        <v>21</v>
      </c>
      <c r="X15" s="93">
        <v>22</v>
      </c>
      <c r="Y15" s="95">
        <v>23</v>
      </c>
    </row>
    <row r="16" spans="1:25" s="96" customFormat="1" ht="15" thickBot="1" x14ac:dyDescent="0.4">
      <c r="A16" s="97" t="s">
        <v>148</v>
      </c>
      <c r="B16" s="98"/>
      <c r="C16" s="98"/>
      <c r="D16" s="98"/>
      <c r="E16" s="98"/>
      <c r="F16" s="98"/>
      <c r="G16" s="98"/>
      <c r="H16" s="98"/>
      <c r="I16" s="98"/>
      <c r="J16" s="98"/>
      <c r="K16" s="98"/>
      <c r="L16" s="98"/>
      <c r="M16" s="98"/>
      <c r="N16" s="98"/>
      <c r="O16" s="98"/>
      <c r="P16" s="98"/>
      <c r="Q16" s="98"/>
      <c r="R16" s="98"/>
      <c r="S16" s="98"/>
      <c r="T16" s="98"/>
      <c r="U16" s="98"/>
      <c r="V16" s="98"/>
      <c r="W16" s="98"/>
      <c r="X16" s="98"/>
      <c r="Y16" s="99"/>
    </row>
    <row r="17" spans="1:28" s="96" customFormat="1" x14ac:dyDescent="0.35">
      <c r="A17" s="100" t="s">
        <v>93</v>
      </c>
      <c r="B17" s="101"/>
      <c r="C17" s="101"/>
      <c r="D17" s="101"/>
      <c r="E17" s="101"/>
      <c r="F17" s="101"/>
      <c r="G17" s="101"/>
      <c r="H17" s="101"/>
      <c r="I17" s="101"/>
      <c r="J17" s="101"/>
      <c r="K17" s="101"/>
      <c r="L17" s="101"/>
      <c r="M17" s="101"/>
      <c r="N17" s="101"/>
      <c r="O17" s="101"/>
      <c r="P17" s="101"/>
      <c r="Q17" s="101"/>
      <c r="R17" s="101"/>
      <c r="S17" s="101"/>
      <c r="T17" s="101"/>
      <c r="U17" s="101"/>
      <c r="V17" s="101"/>
      <c r="W17" s="101"/>
      <c r="X17" s="101"/>
      <c r="Y17" s="102"/>
    </row>
    <row r="18" spans="1:28" s="96" customFormat="1" x14ac:dyDescent="0.35">
      <c r="A18" s="103" t="s">
        <v>40</v>
      </c>
      <c r="B18" s="104">
        <f>Lähtötiedot_kustannukset!$B$17*Lähtötiedot_kustannukset!$B$11</f>
        <v>19916.470588235294</v>
      </c>
      <c r="C18" s="104">
        <f>Lähtötiedot_kustannukset!$B$17*Lähtötiedot_kustannukset!$B$11</f>
        <v>19916.470588235294</v>
      </c>
      <c r="D18" s="104">
        <f>Lähtötiedot_kustannukset!$B$17*Lähtötiedot_kustannukset!$B$11</f>
        <v>19916.470588235294</v>
      </c>
      <c r="E18" s="104">
        <f>Lähtötiedot_kustannukset!$B$17*Lähtötiedot_kustannukset!$B$11</f>
        <v>19916.470588235294</v>
      </c>
      <c r="F18" s="101"/>
      <c r="G18" s="101"/>
      <c r="H18" s="101"/>
      <c r="I18" s="101"/>
      <c r="J18" s="101"/>
      <c r="K18" s="101"/>
      <c r="L18" s="101"/>
      <c r="M18" s="101"/>
      <c r="N18" s="101"/>
      <c r="O18" s="101"/>
      <c r="P18" s="101"/>
      <c r="Q18" s="101"/>
      <c r="R18" s="101"/>
      <c r="S18" s="101"/>
      <c r="T18" s="101"/>
      <c r="U18" s="101"/>
      <c r="V18" s="101"/>
      <c r="W18" s="101"/>
      <c r="X18" s="101"/>
      <c r="Y18" s="102"/>
    </row>
    <row r="19" spans="1:28" s="96" customFormat="1" x14ac:dyDescent="0.35">
      <c r="A19" s="103" t="s">
        <v>9</v>
      </c>
      <c r="B19" s="101">
        <f>Lähtötiedot_kustannukset!$B$18*Lähtötiedot_kustannukset!$B$11</f>
        <v>1164.7058823529412</v>
      </c>
      <c r="C19" s="101">
        <f>Lähtötiedot_kustannukset!$B$18*Lähtötiedot_kustannukset!$B$11</f>
        <v>1164.7058823529412</v>
      </c>
      <c r="D19" s="101">
        <f>Lähtötiedot_kustannukset!$B$18*Lähtötiedot_kustannukset!$B$11</f>
        <v>1164.7058823529412</v>
      </c>
      <c r="E19" s="101">
        <f>Lähtötiedot_kustannukset!$B$18*Lähtötiedot_kustannukset!$B$11</f>
        <v>1164.7058823529412</v>
      </c>
      <c r="F19" s="101"/>
      <c r="G19" s="101"/>
      <c r="H19" s="101"/>
      <c r="I19" s="101"/>
      <c r="J19" s="101"/>
      <c r="K19" s="101"/>
      <c r="L19" s="101"/>
      <c r="M19" s="101"/>
      <c r="N19" s="101"/>
      <c r="O19" s="101"/>
      <c r="P19" s="101"/>
      <c r="Q19" s="101"/>
      <c r="R19" s="101"/>
      <c r="S19" s="101"/>
      <c r="T19" s="101"/>
      <c r="U19" s="101"/>
      <c r="V19" s="101"/>
      <c r="W19" s="101"/>
      <c r="X19" s="101"/>
      <c r="Y19" s="102"/>
    </row>
    <row r="20" spans="1:28" s="96" customFormat="1" ht="15" customHeight="1" x14ac:dyDescent="0.35">
      <c r="A20" s="103" t="s">
        <v>11</v>
      </c>
      <c r="B20" s="101">
        <f>Lähtötiedot_kustannukset!$B$19*Lähtötiedot_kustannukset!$B$11</f>
        <v>3992.8235294117649</v>
      </c>
      <c r="C20" s="101">
        <f>Lähtötiedot_kustannukset!$B$19*Lähtötiedot_kustannukset!$B$11</f>
        <v>3992.8235294117649</v>
      </c>
      <c r="D20" s="101">
        <f>Lähtötiedot_kustannukset!$B$19*Lähtötiedot_kustannukset!$B$11</f>
        <v>3992.8235294117649</v>
      </c>
      <c r="E20" s="101">
        <f>Lähtötiedot_kustannukset!$B$19*Lähtötiedot_kustannukset!$B$11</f>
        <v>3992.8235294117649</v>
      </c>
      <c r="F20" s="101"/>
      <c r="G20" s="101"/>
      <c r="H20" s="101"/>
      <c r="I20" s="101"/>
      <c r="J20" s="101"/>
      <c r="K20" s="101"/>
      <c r="L20" s="101"/>
      <c r="M20" s="101"/>
      <c r="N20" s="101"/>
      <c r="O20" s="101"/>
      <c r="P20" s="101"/>
      <c r="Q20" s="101"/>
      <c r="R20" s="101"/>
      <c r="S20" s="101"/>
      <c r="T20" s="101"/>
      <c r="U20" s="101"/>
      <c r="V20" s="101"/>
      <c r="W20" s="101"/>
      <c r="X20" s="101"/>
      <c r="Y20" s="102"/>
    </row>
    <row r="21" spans="1:28" s="96" customFormat="1" x14ac:dyDescent="0.35">
      <c r="A21" s="105" t="s">
        <v>41</v>
      </c>
      <c r="B21" s="101">
        <f>Lähtötiedot_kustannukset!$B$20*Lähtötiedot_kustannukset!$B$11</f>
        <v>5735.2941176470595</v>
      </c>
      <c r="C21" s="101">
        <f>Lähtötiedot_kustannukset!$B$20*Lähtötiedot_kustannukset!$B$11</f>
        <v>5735.2941176470595</v>
      </c>
      <c r="D21" s="101">
        <f>Lähtötiedot_kustannukset!$B$20*Lähtötiedot_kustannukset!$B$11</f>
        <v>5735.2941176470595</v>
      </c>
      <c r="E21" s="101">
        <f>Lähtötiedot_kustannukset!$B$20*Lähtötiedot_kustannukset!$B$11</f>
        <v>5735.2941176470595</v>
      </c>
      <c r="F21" s="101"/>
      <c r="G21" s="101"/>
      <c r="H21" s="101"/>
      <c r="I21" s="101"/>
      <c r="J21" s="101"/>
      <c r="K21" s="101"/>
      <c r="L21" s="101"/>
      <c r="M21" s="101"/>
      <c r="N21" s="101"/>
      <c r="O21" s="101"/>
      <c r="P21" s="101"/>
      <c r="Q21" s="101"/>
      <c r="R21" s="101"/>
      <c r="S21" s="101"/>
      <c r="T21" s="101"/>
      <c r="U21" s="101"/>
      <c r="V21" s="101"/>
      <c r="W21" s="101"/>
      <c r="X21" s="101"/>
      <c r="Y21" s="102"/>
    </row>
    <row r="22" spans="1:28" s="96" customFormat="1" x14ac:dyDescent="0.35">
      <c r="A22" s="103" t="s">
        <v>18</v>
      </c>
      <c r="B22" s="101"/>
      <c r="C22" s="101">
        <f>Lähtötiedot_kustannukset!$B$32*Lähtötiedot_kustannukset!$B$11</f>
        <v>20190.566037735851</v>
      </c>
      <c r="D22" s="101">
        <f>Lähtötiedot_kustannukset!$B$32*Lähtötiedot_kustannukset!$B$11</f>
        <v>20190.566037735851</v>
      </c>
      <c r="E22" s="101">
        <f>Lähtötiedot_kustannukset!$B$32*Lähtötiedot_kustannukset!$B$11</f>
        <v>20190.566037735851</v>
      </c>
      <c r="F22" s="101">
        <f>Lähtötiedot_kustannukset!$B$32*Lähtötiedot_kustannukset!$B$11</f>
        <v>20190.566037735851</v>
      </c>
      <c r="G22" s="101"/>
      <c r="H22" s="101"/>
      <c r="I22" s="101"/>
      <c r="J22" s="101"/>
      <c r="K22" s="101"/>
      <c r="L22" s="101"/>
      <c r="M22" s="101"/>
      <c r="N22" s="101"/>
      <c r="O22" s="101"/>
      <c r="P22" s="101"/>
      <c r="Q22" s="101"/>
      <c r="R22" s="101"/>
      <c r="S22" s="101"/>
      <c r="T22" s="101"/>
      <c r="U22" s="101"/>
      <c r="V22" s="101"/>
      <c r="W22" s="101"/>
      <c r="X22" s="101"/>
      <c r="Y22" s="102"/>
    </row>
    <row r="23" spans="1:28" s="96" customFormat="1" x14ac:dyDescent="0.35">
      <c r="A23" s="100" t="s">
        <v>94</v>
      </c>
      <c r="B23" s="101"/>
      <c r="C23" s="101"/>
      <c r="D23" s="101"/>
      <c r="E23" s="101"/>
      <c r="F23" s="101"/>
      <c r="G23" s="101"/>
      <c r="H23" s="101"/>
      <c r="I23" s="101"/>
      <c r="J23" s="101"/>
      <c r="K23" s="101"/>
      <c r="L23" s="101"/>
      <c r="M23" s="101"/>
      <c r="N23" s="101"/>
      <c r="O23" s="101"/>
      <c r="P23" s="101"/>
      <c r="Q23" s="101"/>
      <c r="R23" s="101"/>
      <c r="S23" s="101"/>
      <c r="T23" s="101"/>
      <c r="U23" s="101"/>
      <c r="V23" s="101"/>
      <c r="W23" s="101"/>
      <c r="X23" s="101"/>
      <c r="Y23" s="102"/>
    </row>
    <row r="24" spans="1:28" s="96" customFormat="1" x14ac:dyDescent="0.35">
      <c r="A24" s="103" t="s">
        <v>25</v>
      </c>
      <c r="B24" s="101">
        <f>Lähtötiedot_kustannukset!$B$26*Lähtötiedot_kustannukset!$B$11</f>
        <v>41294.117647058825</v>
      </c>
      <c r="C24" s="101">
        <f>Lähtötiedot_kustannukset!$B$26*Lähtötiedot_kustannukset!$B$11</f>
        <v>41294.117647058825</v>
      </c>
      <c r="D24" s="101">
        <f>Lähtötiedot_kustannukset!$B$26*Lähtötiedot_kustannukset!$B$11</f>
        <v>41294.117647058825</v>
      </c>
      <c r="E24" s="101">
        <f>Lähtötiedot_kustannukset!$B$26*Lähtötiedot_kustannukset!$B$11</f>
        <v>41294.117647058825</v>
      </c>
      <c r="F24" s="101"/>
      <c r="G24" s="101"/>
      <c r="H24" s="101"/>
      <c r="I24" s="101"/>
      <c r="J24" s="101"/>
      <c r="K24" s="101"/>
      <c r="L24" s="101"/>
      <c r="M24" s="101"/>
      <c r="N24" s="101"/>
      <c r="O24" s="101"/>
      <c r="P24" s="101"/>
      <c r="Q24" s="101"/>
      <c r="R24" s="101"/>
      <c r="S24" s="101"/>
      <c r="T24" s="101"/>
      <c r="U24" s="101"/>
      <c r="V24" s="101"/>
      <c r="W24" s="101"/>
      <c r="X24" s="101"/>
      <c r="Y24" s="102"/>
    </row>
    <row r="25" spans="1:28" s="96" customFormat="1" x14ac:dyDescent="0.35">
      <c r="A25" s="103" t="s">
        <v>42</v>
      </c>
      <c r="B25" s="101">
        <f>Lähtötiedot_kustannukset!$B$27*Lähtötiedot_kustannukset!$B$11</f>
        <v>11250</v>
      </c>
      <c r="C25" s="101">
        <f>Lähtötiedot_kustannukset!$B$27*Lähtötiedot_kustannukset!$B$11</f>
        <v>11250</v>
      </c>
      <c r="D25" s="101">
        <f>Lähtötiedot_kustannukset!$B$27*Lähtötiedot_kustannukset!$B$11</f>
        <v>11250</v>
      </c>
      <c r="E25" s="101">
        <f>Lähtötiedot_kustannukset!$B$27*Lähtötiedot_kustannukset!$B$11</f>
        <v>11250</v>
      </c>
      <c r="F25" s="101"/>
      <c r="G25" s="101"/>
      <c r="H25" s="101"/>
      <c r="I25" s="101"/>
      <c r="J25" s="101"/>
      <c r="K25" s="101"/>
      <c r="L25" s="101"/>
      <c r="M25" s="101"/>
      <c r="N25" s="101"/>
      <c r="O25" s="101"/>
      <c r="P25" s="101"/>
      <c r="Q25" s="101"/>
      <c r="R25" s="101"/>
      <c r="S25" s="101"/>
      <c r="T25" s="101"/>
      <c r="U25" s="101"/>
      <c r="V25" s="101"/>
      <c r="W25" s="101"/>
      <c r="X25" s="101"/>
      <c r="Y25" s="102"/>
    </row>
    <row r="26" spans="1:28" s="96" customFormat="1" x14ac:dyDescent="0.35">
      <c r="A26" s="103" t="s">
        <v>29</v>
      </c>
      <c r="B26" s="101"/>
      <c r="C26" s="101">
        <f>Lähtötiedot_kustannukset!$B$28*Lähtötiedot_kustannukset!$B$11</f>
        <v>1217.6470588235295</v>
      </c>
      <c r="D26" s="101">
        <f>Lähtötiedot_kustannukset!$B$28*Lähtötiedot_kustannukset!$B$11</f>
        <v>1217.6470588235295</v>
      </c>
      <c r="E26" s="101">
        <f>Lähtötiedot_kustannukset!$B$28*Lähtötiedot_kustannukset!$B$11</f>
        <v>1217.6470588235295</v>
      </c>
      <c r="F26" s="101">
        <f>Lähtötiedot_kustannukset!$B$28*Lähtötiedot_kustannukset!$B$11</f>
        <v>1217.6470588235295</v>
      </c>
      <c r="G26" s="101"/>
      <c r="H26" s="101"/>
      <c r="I26" s="101"/>
      <c r="J26" s="101"/>
      <c r="K26" s="101"/>
      <c r="L26" s="101"/>
      <c r="M26" s="101"/>
      <c r="N26" s="101"/>
      <c r="O26" s="101"/>
      <c r="P26" s="101"/>
      <c r="Q26" s="101"/>
      <c r="R26" s="101"/>
      <c r="S26" s="101"/>
      <c r="T26" s="101"/>
      <c r="U26" s="101"/>
      <c r="V26" s="101"/>
      <c r="W26" s="101"/>
      <c r="X26" s="101"/>
      <c r="Y26" s="102"/>
    </row>
    <row r="27" spans="1:28" s="96" customFormat="1" x14ac:dyDescent="0.35">
      <c r="A27" s="100" t="s">
        <v>95</v>
      </c>
      <c r="B27" s="101"/>
      <c r="C27" s="101"/>
      <c r="D27" s="101"/>
      <c r="E27" s="101"/>
      <c r="F27" s="101"/>
      <c r="G27" s="101"/>
      <c r="H27" s="101"/>
      <c r="I27" s="101"/>
      <c r="J27" s="101"/>
      <c r="K27" s="101"/>
      <c r="L27" s="101"/>
      <c r="M27" s="101"/>
      <c r="N27" s="101"/>
      <c r="O27" s="101"/>
      <c r="P27" s="101"/>
      <c r="Q27" s="101"/>
      <c r="R27" s="101"/>
      <c r="S27" s="101"/>
      <c r="T27" s="101"/>
      <c r="U27" s="101"/>
      <c r="V27" s="101"/>
      <c r="W27" s="101"/>
      <c r="X27" s="101"/>
      <c r="Y27" s="102"/>
    </row>
    <row r="28" spans="1:28" s="96" customFormat="1" x14ac:dyDescent="0.35">
      <c r="A28" s="103" t="s">
        <v>76</v>
      </c>
      <c r="B28" s="101"/>
      <c r="C28" s="101"/>
      <c r="D28" s="101"/>
      <c r="E28" s="101"/>
      <c r="F28" s="101">
        <f>Lähtötiedot_kustannukset!$B$31*Lähtötiedot_kustannukset!$B$11</f>
        <v>26640</v>
      </c>
      <c r="G28" s="101">
        <f>Lähtötiedot_kustannukset!$B$31*Lähtötiedot_kustannukset!$B$11</f>
        <v>26640</v>
      </c>
      <c r="H28" s="101">
        <f>Lähtötiedot_kustannukset!$B$31*Lähtötiedot_kustannukset!$B$11</f>
        <v>26640</v>
      </c>
      <c r="I28" s="101">
        <f>Lähtötiedot_kustannukset!$B$31*Lähtötiedot_kustannukset!$B$11</f>
        <v>26640</v>
      </c>
      <c r="J28" s="101">
        <f>Lähtötiedot_kustannukset!$B$31*Lähtötiedot_kustannukset!$B$11</f>
        <v>26640</v>
      </c>
      <c r="K28" s="101">
        <f>Lähtötiedot_kustannukset!$B$31*Lähtötiedot_kustannukset!$B$11</f>
        <v>26640</v>
      </c>
      <c r="L28" s="101">
        <f>Lähtötiedot_kustannukset!$B$31*Lähtötiedot_kustannukset!$B$11</f>
        <v>26640</v>
      </c>
      <c r="M28" s="101">
        <f>Lähtötiedot_kustannukset!$B$31*Lähtötiedot_kustannukset!$B$11</f>
        <v>26640</v>
      </c>
      <c r="N28" s="101">
        <f>Lähtötiedot_kustannukset!$B$31*Lähtötiedot_kustannukset!$B$11</f>
        <v>26640</v>
      </c>
      <c r="O28" s="101">
        <f>Lähtötiedot_kustannukset!$B$31*Lähtötiedot_kustannukset!$B$11</f>
        <v>26640</v>
      </c>
      <c r="P28" s="101">
        <f>Lähtötiedot_kustannukset!$B$31*Lähtötiedot_kustannukset!$B$11</f>
        <v>26640</v>
      </c>
      <c r="Q28" s="101">
        <f>Lähtötiedot_kustannukset!$B$31*Lähtötiedot_kustannukset!$B$11</f>
        <v>26640</v>
      </c>
      <c r="R28" s="101">
        <f>Lähtötiedot_kustannukset!$B$31*Lähtötiedot_kustannukset!$B$11</f>
        <v>26640</v>
      </c>
      <c r="S28" s="101">
        <f>Lähtötiedot_kustannukset!$B$31*Lähtötiedot_kustannukset!$B$11</f>
        <v>26640</v>
      </c>
      <c r="T28" s="101">
        <f>Lähtötiedot_kustannukset!$B$31*Lähtötiedot_kustannukset!$B$11</f>
        <v>26640</v>
      </c>
      <c r="U28" s="101">
        <f>Lähtötiedot_kustannukset!$B$31*Lähtötiedot_kustannukset!$B$11</f>
        <v>26640</v>
      </c>
      <c r="V28" s="101">
        <f>Lähtötiedot_kustannukset!$B$31*Lähtötiedot_kustannukset!$B$11</f>
        <v>26640</v>
      </c>
      <c r="W28" s="101">
        <f>Lähtötiedot_kustannukset!$B$31*Lähtötiedot_kustannukset!$B$11</f>
        <v>26640</v>
      </c>
      <c r="X28" s="101">
        <f>Lähtötiedot_kustannukset!$B$31*Lähtötiedot_kustannukset!$B$11</f>
        <v>26640</v>
      </c>
      <c r="Y28" s="102">
        <f>Lähtötiedot_kustannukset!$B$31*Lähtötiedot_kustannukset!$B$11</f>
        <v>26640</v>
      </c>
    </row>
    <row r="29" spans="1:28" s="96" customFormat="1" x14ac:dyDescent="0.35">
      <c r="A29" s="103" t="s">
        <v>43</v>
      </c>
      <c r="B29" s="101"/>
      <c r="C29" s="101"/>
      <c r="D29" s="101"/>
      <c r="E29" s="101"/>
      <c r="F29" s="101">
        <f>Lähtötiedot_kustannukset!$B$32*Lähtötiedot_kustannukset!$B$11</f>
        <v>20190.566037735851</v>
      </c>
      <c r="G29" s="101">
        <f>Lähtötiedot_kustannukset!$B$32*Lähtötiedot_kustannukset!$B$11</f>
        <v>20190.566037735851</v>
      </c>
      <c r="H29" s="101">
        <f>Lähtötiedot_kustannukset!$B$32*Lähtötiedot_kustannukset!$B$11</f>
        <v>20190.566037735851</v>
      </c>
      <c r="I29" s="101">
        <f>Lähtötiedot_kustannukset!$B$32*Lähtötiedot_kustannukset!$B$11</f>
        <v>20190.566037735851</v>
      </c>
      <c r="J29" s="101">
        <f>Lähtötiedot_kustannukset!$B$32*Lähtötiedot_kustannukset!$B$11</f>
        <v>20190.566037735851</v>
      </c>
      <c r="K29" s="101">
        <f>Lähtötiedot_kustannukset!$B$32*Lähtötiedot_kustannukset!$B$11</f>
        <v>20190.566037735851</v>
      </c>
      <c r="L29" s="101">
        <f>Lähtötiedot_kustannukset!$B$32*Lähtötiedot_kustannukset!$B$11</f>
        <v>20190.566037735851</v>
      </c>
      <c r="M29" s="101">
        <f>Lähtötiedot_kustannukset!$B$32*Lähtötiedot_kustannukset!$B$11</f>
        <v>20190.566037735851</v>
      </c>
      <c r="N29" s="101">
        <f>Lähtötiedot_kustannukset!$B$32*Lähtötiedot_kustannukset!$B$11</f>
        <v>20190.566037735851</v>
      </c>
      <c r="O29" s="101">
        <f>Lähtötiedot_kustannukset!$B$32*Lähtötiedot_kustannukset!$B$11</f>
        <v>20190.566037735851</v>
      </c>
      <c r="P29" s="101">
        <f>Lähtötiedot_kustannukset!$B$32*Lähtötiedot_kustannukset!$B$11</f>
        <v>20190.566037735851</v>
      </c>
      <c r="Q29" s="101">
        <f>Lähtötiedot_kustannukset!$B$32*Lähtötiedot_kustannukset!$B$11</f>
        <v>20190.566037735851</v>
      </c>
      <c r="R29" s="101">
        <f>Lähtötiedot_kustannukset!$B$32*Lähtötiedot_kustannukset!$B$11</f>
        <v>20190.566037735851</v>
      </c>
      <c r="S29" s="101">
        <f>Lähtötiedot_kustannukset!$B$32*Lähtötiedot_kustannukset!$B$11</f>
        <v>20190.566037735851</v>
      </c>
      <c r="T29" s="101">
        <f>Lähtötiedot_kustannukset!$B$32*Lähtötiedot_kustannukset!$B$11</f>
        <v>20190.566037735851</v>
      </c>
      <c r="U29" s="101">
        <f>Lähtötiedot_kustannukset!$B$32*Lähtötiedot_kustannukset!$B$11</f>
        <v>20190.566037735851</v>
      </c>
      <c r="V29" s="101">
        <f>Lähtötiedot_kustannukset!$B$32*Lähtötiedot_kustannukset!$B$11</f>
        <v>20190.566037735851</v>
      </c>
      <c r="W29" s="101">
        <f>Lähtötiedot_kustannukset!$B$32*Lähtötiedot_kustannukset!$B$11</f>
        <v>20190.566037735851</v>
      </c>
      <c r="X29" s="101">
        <f>Lähtötiedot_kustannukset!$B$32*Lähtötiedot_kustannukset!$B$11</f>
        <v>20190.566037735851</v>
      </c>
      <c r="Y29" s="102"/>
      <c r="Z29" s="106"/>
    </row>
    <row r="30" spans="1:28" s="96" customFormat="1" x14ac:dyDescent="0.35">
      <c r="A30" s="100" t="s">
        <v>96</v>
      </c>
      <c r="B30" s="101"/>
      <c r="C30" s="101"/>
      <c r="D30" s="101"/>
      <c r="E30" s="101"/>
      <c r="F30" s="101"/>
      <c r="G30" s="101"/>
      <c r="H30" s="101"/>
      <c r="I30" s="101"/>
      <c r="J30" s="101"/>
      <c r="K30" s="101"/>
      <c r="L30" s="101"/>
      <c r="M30" s="101"/>
      <c r="N30" s="101"/>
      <c r="O30" s="101"/>
      <c r="P30" s="101"/>
      <c r="Q30" s="101"/>
      <c r="R30" s="101"/>
      <c r="S30" s="101"/>
      <c r="T30" s="101"/>
      <c r="U30" s="101"/>
      <c r="V30" s="101"/>
      <c r="W30" s="101"/>
      <c r="X30" s="101"/>
      <c r="Y30" s="102"/>
    </row>
    <row r="31" spans="1:28" s="96" customFormat="1" ht="18" customHeight="1" x14ac:dyDescent="0.35">
      <c r="A31" s="107" t="s">
        <v>33</v>
      </c>
      <c r="B31" s="101"/>
      <c r="C31" s="101"/>
      <c r="D31" s="101"/>
      <c r="E31" s="101"/>
      <c r="F31" s="101"/>
      <c r="G31" s="101"/>
      <c r="H31" s="101"/>
      <c r="I31" s="101"/>
      <c r="J31" s="101"/>
      <c r="K31" s="101"/>
      <c r="L31" s="101"/>
      <c r="M31" s="101"/>
      <c r="N31" s="101"/>
      <c r="O31" s="101"/>
      <c r="P31" s="101"/>
      <c r="Q31" s="101"/>
      <c r="R31" s="101"/>
      <c r="S31" s="101"/>
      <c r="T31" s="101"/>
      <c r="U31" s="101"/>
      <c r="V31" s="101">
        <f>Lähtötiedot_kustannukset!$B$35*Lähtötiedot_kustannukset!$B$11</f>
        <v>30811.764705882357</v>
      </c>
      <c r="W31" s="101">
        <f>Lähtötiedot_kustannukset!$B$35*Lähtötiedot_kustannukset!$B$11</f>
        <v>30811.764705882357</v>
      </c>
      <c r="X31" s="101">
        <f>Lähtötiedot_kustannukset!$B$35*Lähtötiedot_kustannukset!$B$11</f>
        <v>30811.764705882357</v>
      </c>
      <c r="Y31" s="102">
        <f>Lähtötiedot_kustannukset!$B$35*Lähtötiedot_kustannukset!$B$11</f>
        <v>30811.764705882357</v>
      </c>
    </row>
    <row r="32" spans="1:28" s="96" customFormat="1" x14ac:dyDescent="0.35">
      <c r="A32" s="100" t="s">
        <v>97</v>
      </c>
      <c r="B32" s="101"/>
      <c r="C32" s="101"/>
      <c r="D32" s="101"/>
      <c r="E32" s="101"/>
      <c r="F32" s="101"/>
      <c r="G32" s="101"/>
      <c r="H32" s="101"/>
      <c r="I32" s="101"/>
      <c r="J32" s="101"/>
      <c r="K32" s="101"/>
      <c r="L32" s="101"/>
      <c r="M32" s="101"/>
      <c r="N32" s="101"/>
      <c r="O32" s="101"/>
      <c r="P32" s="101"/>
      <c r="Q32" s="101"/>
      <c r="R32" s="101"/>
      <c r="S32" s="101"/>
      <c r="T32" s="101"/>
      <c r="U32" s="101"/>
      <c r="V32" s="101"/>
      <c r="W32" s="101"/>
      <c r="X32" s="101"/>
      <c r="Y32" s="102"/>
      <c r="Z32" s="101"/>
      <c r="AA32" s="101"/>
      <c r="AB32" s="101"/>
    </row>
    <row r="33" spans="1:27" s="96" customFormat="1" x14ac:dyDescent="0.35">
      <c r="A33" s="103" t="s">
        <v>35</v>
      </c>
      <c r="B33" s="101">
        <f>Lähtötiedot_kustannukset!$B$38*Lähtötiedot_kustannukset!$B$11</f>
        <v>6076.3235294117658</v>
      </c>
      <c r="C33" s="101">
        <f>Lähtötiedot_kustannukset!$B$38*(Lähtötiedot_kustannukset!B11*2)</f>
        <v>12152.647058823532</v>
      </c>
      <c r="D33" s="101">
        <f>Lähtötiedot_kustannukset!$B$38*(Lähtötiedot_kustannukset!B11*3)</f>
        <v>18228.970588235297</v>
      </c>
      <c r="E33" s="101">
        <f>Lähtötiedot_kustannukset!$B$38*Lähtötiedot_kustannukset!$B$10</f>
        <v>24305.294117647063</v>
      </c>
      <c r="F33" s="101">
        <f>Lähtötiedot_kustannukset!$B$38*Lähtötiedot_kustannukset!$B$10</f>
        <v>24305.294117647063</v>
      </c>
      <c r="G33" s="101">
        <f>Lähtötiedot_kustannukset!$B$38*Lähtötiedot_kustannukset!$B$10</f>
        <v>24305.294117647063</v>
      </c>
      <c r="H33" s="101">
        <f>Lähtötiedot_kustannukset!$B$38*Lähtötiedot_kustannukset!$B$10</f>
        <v>24305.294117647063</v>
      </c>
      <c r="I33" s="101">
        <f>Lähtötiedot_kustannukset!$B$38*Lähtötiedot_kustannukset!$B$10</f>
        <v>24305.294117647063</v>
      </c>
      <c r="J33" s="101">
        <f>Lähtötiedot_kustannukset!$B$38*Lähtötiedot_kustannukset!$B$10</f>
        <v>24305.294117647063</v>
      </c>
      <c r="K33" s="101">
        <f>Lähtötiedot_kustannukset!$B$38*Lähtötiedot_kustannukset!$B$10</f>
        <v>24305.294117647063</v>
      </c>
      <c r="L33" s="101">
        <f>Lähtötiedot_kustannukset!$B$38*Lähtötiedot_kustannukset!$B$10</f>
        <v>24305.294117647063</v>
      </c>
      <c r="M33" s="101">
        <f>Lähtötiedot_kustannukset!$B$38*Lähtötiedot_kustannukset!$B$10</f>
        <v>24305.294117647063</v>
      </c>
      <c r="N33" s="101">
        <f>Lähtötiedot_kustannukset!$B$38*Lähtötiedot_kustannukset!$B$10</f>
        <v>24305.294117647063</v>
      </c>
      <c r="O33" s="101">
        <f>Lähtötiedot_kustannukset!$B$38*Lähtötiedot_kustannukset!$B$10</f>
        <v>24305.294117647063</v>
      </c>
      <c r="P33" s="101">
        <f>Lähtötiedot_kustannukset!$B$38*Lähtötiedot_kustannukset!$B$10</f>
        <v>24305.294117647063</v>
      </c>
      <c r="Q33" s="101">
        <f>Lähtötiedot_kustannukset!$B$38*Lähtötiedot_kustannukset!$B$10</f>
        <v>24305.294117647063</v>
      </c>
      <c r="R33" s="101">
        <f>Lähtötiedot_kustannukset!$B$38*Lähtötiedot_kustannukset!$B$10</f>
        <v>24305.294117647063</v>
      </c>
      <c r="S33" s="101">
        <f>Lähtötiedot_kustannukset!$B$38*Lähtötiedot_kustannukset!$B$10</f>
        <v>24305.294117647063</v>
      </c>
      <c r="T33" s="101">
        <f>Lähtötiedot_kustannukset!$B$38*Lähtötiedot_kustannukset!$B$10</f>
        <v>24305.294117647063</v>
      </c>
      <c r="U33" s="101">
        <f>Lähtötiedot_kustannukset!$B$38*Lähtötiedot_kustannukset!$B$10</f>
        <v>24305.294117647063</v>
      </c>
      <c r="V33" s="101">
        <f>Lähtötiedot_kustannukset!$B$38*Lähtötiedot_kustannukset!$B$10</f>
        <v>24305.294117647063</v>
      </c>
      <c r="W33" s="101">
        <f>Lähtötiedot_kustannukset!$B$38*(Lähtötiedot_kustannukset!B11*3)</f>
        <v>18228.970588235297</v>
      </c>
      <c r="X33" s="101">
        <f>Lähtötiedot_kustannukset!$B$38*(Lähtötiedot_kustannukset!B11*2)</f>
        <v>12152.647058823532</v>
      </c>
      <c r="Y33" s="102">
        <f>Lähtötiedot_kustannukset!$B$38*Lähtötiedot_kustannukset!B11</f>
        <v>6076.3235294117658</v>
      </c>
      <c r="Z33" s="106"/>
    </row>
    <row r="34" spans="1:27" s="96" customFormat="1" x14ac:dyDescent="0.35">
      <c r="A34" s="100" t="s">
        <v>98</v>
      </c>
      <c r="B34" s="101"/>
      <c r="C34" s="101"/>
      <c r="D34" s="101"/>
      <c r="E34" s="101"/>
      <c r="F34" s="101"/>
      <c r="G34" s="101"/>
      <c r="H34" s="101"/>
      <c r="I34" s="101"/>
      <c r="J34" s="101"/>
      <c r="K34" s="101"/>
      <c r="L34" s="101"/>
      <c r="M34" s="101"/>
      <c r="N34" s="101"/>
      <c r="O34" s="101"/>
      <c r="P34" s="101"/>
      <c r="Q34" s="101"/>
      <c r="R34" s="101"/>
      <c r="S34" s="101"/>
      <c r="T34" s="101"/>
      <c r="U34" s="101"/>
      <c r="V34" s="101"/>
      <c r="W34" s="101"/>
      <c r="X34" s="101"/>
      <c r="Y34" s="102"/>
      <c r="Z34" s="106"/>
    </row>
    <row r="35" spans="1:27" s="96" customFormat="1" x14ac:dyDescent="0.35">
      <c r="A35" s="103" t="s">
        <v>99</v>
      </c>
      <c r="B35" s="101"/>
      <c r="C35" s="101"/>
      <c r="D35" s="101"/>
      <c r="E35" s="101"/>
      <c r="F35" s="101">
        <f>Lähtötiedot_kustannukset!$B$44</f>
        <v>65000</v>
      </c>
      <c r="G35" s="101">
        <f>Lähtötiedot_kustannukset!$B$44</f>
        <v>65000</v>
      </c>
      <c r="H35" s="101">
        <f>Lähtötiedot_kustannukset!$B$44</f>
        <v>65000</v>
      </c>
      <c r="I35" s="101">
        <f>Lähtötiedot_kustannukset!$B$44</f>
        <v>65000</v>
      </c>
      <c r="J35" s="101">
        <f>Lähtötiedot_kustannukset!$B$44</f>
        <v>65000</v>
      </c>
      <c r="K35" s="101">
        <f>Lähtötiedot_kustannukset!$B$44</f>
        <v>65000</v>
      </c>
      <c r="L35" s="101">
        <f>Lähtötiedot_kustannukset!$B$44</f>
        <v>65000</v>
      </c>
      <c r="M35" s="101">
        <f>Lähtötiedot_kustannukset!$B$44</f>
        <v>65000</v>
      </c>
      <c r="N35" s="101">
        <f>Lähtötiedot_kustannukset!$B$44</f>
        <v>65000</v>
      </c>
      <c r="O35" s="101">
        <f>Lähtötiedot_kustannukset!$B$44</f>
        <v>65000</v>
      </c>
      <c r="P35" s="101">
        <f>Lähtötiedot_kustannukset!$B$44</f>
        <v>65000</v>
      </c>
      <c r="Q35" s="101">
        <f>Lähtötiedot_kustannukset!$B$44</f>
        <v>65000</v>
      </c>
      <c r="R35" s="101">
        <f>Lähtötiedot_kustannukset!$B$44</f>
        <v>65000</v>
      </c>
      <c r="S35" s="101">
        <f>Lähtötiedot_kustannukset!$B$44</f>
        <v>65000</v>
      </c>
      <c r="T35" s="101">
        <f>Lähtötiedot_kustannukset!$B$44</f>
        <v>65000</v>
      </c>
      <c r="U35" s="101">
        <f>Lähtötiedot_kustannukset!$B$44</f>
        <v>65000</v>
      </c>
      <c r="V35" s="101">
        <f>Lähtötiedot_kustannukset!$B$44</f>
        <v>65000</v>
      </c>
      <c r="W35" s="101">
        <f>Lähtötiedot_kustannukset!$B$44</f>
        <v>65000</v>
      </c>
      <c r="X35" s="101">
        <f>Lähtötiedot_kustannukset!$B$44</f>
        <v>65000</v>
      </c>
      <c r="Y35" s="102">
        <f>Lähtötiedot_kustannukset!$B$44</f>
        <v>65000</v>
      </c>
      <c r="Z35" s="106"/>
    </row>
    <row r="36" spans="1:27" s="96" customFormat="1" x14ac:dyDescent="0.35">
      <c r="A36" s="100" t="s">
        <v>102</v>
      </c>
      <c r="B36" s="101"/>
      <c r="C36" s="101"/>
      <c r="D36" s="101"/>
      <c r="E36" s="101"/>
      <c r="F36" s="101"/>
      <c r="G36" s="101"/>
      <c r="H36" s="101"/>
      <c r="I36" s="101"/>
      <c r="J36" s="101"/>
      <c r="K36" s="101"/>
      <c r="L36" s="101"/>
      <c r="M36" s="101"/>
      <c r="N36" s="101"/>
      <c r="O36" s="101"/>
      <c r="P36" s="101"/>
      <c r="Q36" s="101"/>
      <c r="R36" s="101"/>
      <c r="S36" s="101"/>
      <c r="T36" s="101"/>
      <c r="U36" s="101"/>
      <c r="V36" s="101"/>
      <c r="W36" s="101"/>
      <c r="X36" s="101"/>
      <c r="Y36" s="102"/>
      <c r="Z36" s="106"/>
    </row>
    <row r="37" spans="1:27" s="96" customFormat="1" x14ac:dyDescent="0.35">
      <c r="A37" s="103" t="s">
        <v>103</v>
      </c>
      <c r="B37" s="101"/>
      <c r="C37" s="101"/>
      <c r="D37" s="101"/>
      <c r="E37" s="101"/>
      <c r="F37" s="101">
        <f>Lähtötiedot_kustannukset!$B$45</f>
        <v>50000</v>
      </c>
      <c r="G37" s="101">
        <f>Lähtötiedot_kustannukset!$B$45</f>
        <v>50000</v>
      </c>
      <c r="H37" s="101">
        <f>Lähtötiedot_kustannukset!$B$45</f>
        <v>50000</v>
      </c>
      <c r="I37" s="101">
        <f>Lähtötiedot_kustannukset!$B$45</f>
        <v>50000</v>
      </c>
      <c r="J37" s="101">
        <f>Lähtötiedot_kustannukset!$B$45</f>
        <v>50000</v>
      </c>
      <c r="K37" s="101">
        <f>Lähtötiedot_kustannukset!$B$45</f>
        <v>50000</v>
      </c>
      <c r="L37" s="101">
        <f>Lähtötiedot_kustannukset!$B$45</f>
        <v>50000</v>
      </c>
      <c r="M37" s="101">
        <f>Lähtötiedot_kustannukset!$B$45</f>
        <v>50000</v>
      </c>
      <c r="N37" s="101">
        <f>Lähtötiedot_kustannukset!$B$45</f>
        <v>50000</v>
      </c>
      <c r="O37" s="101">
        <f>Lähtötiedot_kustannukset!$B$45</f>
        <v>50000</v>
      </c>
      <c r="P37" s="101">
        <f>Lähtötiedot_kustannukset!$B$45</f>
        <v>50000</v>
      </c>
      <c r="Q37" s="101">
        <f>Lähtötiedot_kustannukset!$B$45</f>
        <v>50000</v>
      </c>
      <c r="R37" s="101">
        <f>Lähtötiedot_kustannukset!$B$45</f>
        <v>50000</v>
      </c>
      <c r="S37" s="101">
        <f>Lähtötiedot_kustannukset!$B$45</f>
        <v>50000</v>
      </c>
      <c r="T37" s="101">
        <f>Lähtötiedot_kustannukset!$B$45</f>
        <v>50000</v>
      </c>
      <c r="U37" s="101">
        <f>Lähtötiedot_kustannukset!$B$45</f>
        <v>50000</v>
      </c>
      <c r="V37" s="101">
        <f>Lähtötiedot_kustannukset!$B$45</f>
        <v>50000</v>
      </c>
      <c r="W37" s="101">
        <f>Lähtötiedot_kustannukset!$B$45</f>
        <v>50000</v>
      </c>
      <c r="X37" s="101">
        <f>Lähtötiedot_kustannukset!$B$45</f>
        <v>50000</v>
      </c>
      <c r="Y37" s="102">
        <f>Lähtötiedot_kustannukset!$B$45</f>
        <v>50000</v>
      </c>
      <c r="Z37" s="106"/>
    </row>
    <row r="38" spans="1:27" s="96" customFormat="1" x14ac:dyDescent="0.35">
      <c r="A38" s="103" t="s">
        <v>108</v>
      </c>
      <c r="B38" s="101"/>
      <c r="C38" s="101"/>
      <c r="D38" s="101"/>
      <c r="E38" s="101"/>
      <c r="F38" s="101">
        <f>Lähtötiedot_kustannukset!$B$46</f>
        <v>2500</v>
      </c>
      <c r="G38" s="101">
        <f>Lähtötiedot_kustannukset!$B$46</f>
        <v>2500</v>
      </c>
      <c r="H38" s="101">
        <f>Lähtötiedot_kustannukset!$B$46</f>
        <v>2500</v>
      </c>
      <c r="I38" s="101">
        <f>Lähtötiedot_kustannukset!$B$46</f>
        <v>2500</v>
      </c>
      <c r="J38" s="101">
        <f>Lähtötiedot_kustannukset!$B$46</f>
        <v>2500</v>
      </c>
      <c r="K38" s="101">
        <f>Lähtötiedot_kustannukset!$B$46</f>
        <v>2500</v>
      </c>
      <c r="L38" s="101">
        <f>Lähtötiedot_kustannukset!$B$46</f>
        <v>2500</v>
      </c>
      <c r="M38" s="101">
        <f>Lähtötiedot_kustannukset!$B$46</f>
        <v>2500</v>
      </c>
      <c r="N38" s="101">
        <f>Lähtötiedot_kustannukset!$B$46</f>
        <v>2500</v>
      </c>
      <c r="O38" s="101">
        <f>Lähtötiedot_kustannukset!$B$46</f>
        <v>2500</v>
      </c>
      <c r="P38" s="101">
        <f>Lähtötiedot_kustannukset!$B$46</f>
        <v>2500</v>
      </c>
      <c r="Q38" s="101">
        <f>Lähtötiedot_kustannukset!$B$46</f>
        <v>2500</v>
      </c>
      <c r="R38" s="101">
        <f>Lähtötiedot_kustannukset!$B$46</f>
        <v>2500</v>
      </c>
      <c r="S38" s="101">
        <f>Lähtötiedot_kustannukset!$B$46</f>
        <v>2500</v>
      </c>
      <c r="T38" s="101">
        <f>Lähtötiedot_kustannukset!$B$46</f>
        <v>2500</v>
      </c>
      <c r="U38" s="101">
        <f>Lähtötiedot_kustannukset!$B$46</f>
        <v>2500</v>
      </c>
      <c r="V38" s="101">
        <f>Lähtötiedot_kustannukset!$B$46</f>
        <v>2500</v>
      </c>
      <c r="W38" s="101">
        <f>Lähtötiedot_kustannukset!$B$46</f>
        <v>2500</v>
      </c>
      <c r="X38" s="101">
        <f>Lähtötiedot_kustannukset!$B$46</f>
        <v>2500</v>
      </c>
      <c r="Y38" s="102">
        <f>Lähtötiedot_kustannukset!$B$46</f>
        <v>2500</v>
      </c>
      <c r="Z38" s="106"/>
    </row>
    <row r="39" spans="1:27" s="96" customFormat="1" x14ac:dyDescent="0.35">
      <c r="A39" s="100" t="s">
        <v>80</v>
      </c>
      <c r="B39" s="101"/>
      <c r="C39" s="101"/>
      <c r="D39" s="101"/>
      <c r="E39" s="101"/>
      <c r="F39" s="101"/>
      <c r="G39" s="101"/>
      <c r="H39" s="101"/>
      <c r="I39" s="101"/>
      <c r="J39" s="101"/>
      <c r="K39" s="101"/>
      <c r="L39" s="101"/>
      <c r="M39" s="101"/>
      <c r="N39" s="101"/>
      <c r="O39" s="101"/>
      <c r="P39" s="101"/>
      <c r="Q39" s="101"/>
      <c r="R39" s="101"/>
      <c r="S39" s="101"/>
      <c r="T39" s="101"/>
      <c r="U39" s="101"/>
      <c r="V39" s="101"/>
      <c r="W39" s="101"/>
      <c r="X39" s="101"/>
      <c r="Y39" s="102"/>
      <c r="Z39" s="106"/>
    </row>
    <row r="40" spans="1:27" s="96" customFormat="1" x14ac:dyDescent="0.35">
      <c r="A40" s="103" t="s">
        <v>106</v>
      </c>
      <c r="B40" s="101"/>
      <c r="C40" s="101"/>
      <c r="D40" s="101"/>
      <c r="E40" s="101"/>
      <c r="F40" s="101">
        <f>Lähtötiedot_kustannukset!$B$41</f>
        <v>3500</v>
      </c>
      <c r="G40" s="101">
        <f>Lähtötiedot_kustannukset!$B$41</f>
        <v>3500</v>
      </c>
      <c r="H40" s="101">
        <f>Lähtötiedot_kustannukset!$B$41</f>
        <v>3500</v>
      </c>
      <c r="I40" s="101">
        <f>Lähtötiedot_kustannukset!$B$41</f>
        <v>3500</v>
      </c>
      <c r="J40" s="101">
        <f>Lähtötiedot_kustannukset!$B$41</f>
        <v>3500</v>
      </c>
      <c r="K40" s="101">
        <f>Lähtötiedot_kustannukset!$B$41</f>
        <v>3500</v>
      </c>
      <c r="L40" s="101">
        <f>Lähtötiedot_kustannukset!$B$41</f>
        <v>3500</v>
      </c>
      <c r="M40" s="101">
        <f>Lähtötiedot_kustannukset!$B$41</f>
        <v>3500</v>
      </c>
      <c r="N40" s="101">
        <f>Lähtötiedot_kustannukset!$B$41</f>
        <v>3500</v>
      </c>
      <c r="O40" s="101">
        <f>Lähtötiedot_kustannukset!$B$41</f>
        <v>3500</v>
      </c>
      <c r="P40" s="101">
        <f>Lähtötiedot_kustannukset!$B$41</f>
        <v>3500</v>
      </c>
      <c r="Q40" s="101">
        <f>Lähtötiedot_kustannukset!$B$41</f>
        <v>3500</v>
      </c>
      <c r="R40" s="101">
        <f>Lähtötiedot_kustannukset!$B$41</f>
        <v>3500</v>
      </c>
      <c r="S40" s="101">
        <f>Lähtötiedot_kustannukset!$B$41</f>
        <v>3500</v>
      </c>
      <c r="T40" s="101">
        <f>Lähtötiedot_kustannukset!$B$41</f>
        <v>3500</v>
      </c>
      <c r="U40" s="101">
        <f>Lähtötiedot_kustannukset!$B$41</f>
        <v>3500</v>
      </c>
      <c r="V40" s="101">
        <f>Lähtötiedot_kustannukset!$B$41</f>
        <v>3500</v>
      </c>
      <c r="W40" s="101">
        <f>Lähtötiedot_kustannukset!$B$41</f>
        <v>3500</v>
      </c>
      <c r="X40" s="101">
        <f>Lähtötiedot_kustannukset!$B$41</f>
        <v>3500</v>
      </c>
      <c r="Y40" s="102">
        <f>Lähtötiedot_kustannukset!$B$41</f>
        <v>3500</v>
      </c>
      <c r="Z40" s="106"/>
    </row>
    <row r="41" spans="1:27" s="96" customFormat="1" x14ac:dyDescent="0.35">
      <c r="A41" s="108"/>
      <c r="B41" s="93"/>
      <c r="C41" s="93"/>
      <c r="D41" s="93"/>
      <c r="E41" s="93"/>
      <c r="F41" s="93"/>
      <c r="G41" s="93"/>
      <c r="H41" s="93"/>
      <c r="I41" s="93"/>
      <c r="J41" s="93"/>
      <c r="K41" s="93"/>
      <c r="L41" s="93"/>
      <c r="M41" s="93"/>
      <c r="N41" s="93"/>
      <c r="O41" s="93"/>
      <c r="P41" s="93"/>
      <c r="Q41" s="93"/>
      <c r="R41" s="93"/>
      <c r="S41" s="93"/>
      <c r="T41" s="93"/>
      <c r="U41" s="93"/>
      <c r="V41" s="93"/>
      <c r="W41" s="93"/>
      <c r="X41" s="93"/>
      <c r="Y41" s="108"/>
    </row>
    <row r="42" spans="1:27" s="96" customFormat="1" ht="15" thickBot="1" x14ac:dyDescent="0.4">
      <c r="A42" s="109" t="s">
        <v>36</v>
      </c>
      <c r="B42" s="110"/>
      <c r="C42" s="110"/>
      <c r="D42" s="110"/>
      <c r="E42" s="110"/>
      <c r="F42" s="110"/>
      <c r="G42" s="110"/>
      <c r="H42" s="110"/>
      <c r="I42" s="110"/>
      <c r="J42" s="110"/>
      <c r="K42" s="110"/>
      <c r="L42" s="110"/>
      <c r="M42" s="110"/>
      <c r="N42" s="110"/>
      <c r="O42" s="110"/>
      <c r="P42" s="110"/>
      <c r="Q42" s="110"/>
      <c r="R42" s="110"/>
      <c r="S42" s="110"/>
      <c r="T42" s="110"/>
      <c r="U42" s="110"/>
      <c r="V42" s="110"/>
      <c r="W42" s="110"/>
      <c r="X42" s="110"/>
      <c r="Y42" s="111"/>
    </row>
    <row r="43" spans="1:27" s="96" customFormat="1" x14ac:dyDescent="0.35">
      <c r="A43" s="112" t="s">
        <v>151</v>
      </c>
      <c r="B43" s="113"/>
      <c r="C43" s="113"/>
      <c r="D43" s="113"/>
      <c r="E43" s="113"/>
      <c r="F43" s="113">
        <f>Lähtötiedot_tuotot!$D$4</f>
        <v>300000</v>
      </c>
      <c r="G43" s="113">
        <f>Lähtötiedot_tuotot!$D$4</f>
        <v>300000</v>
      </c>
      <c r="H43" s="113">
        <f>Lähtötiedot_tuotot!$D$4</f>
        <v>300000</v>
      </c>
      <c r="I43" s="113">
        <f>Lähtötiedot_tuotot!$D$4</f>
        <v>300000</v>
      </c>
      <c r="J43" s="113">
        <f>Lähtötiedot_tuotot!$D$4</f>
        <v>300000</v>
      </c>
      <c r="K43" s="113">
        <f>Lähtötiedot_tuotot!$D$4</f>
        <v>300000</v>
      </c>
      <c r="L43" s="113">
        <f>Lähtötiedot_tuotot!$D$4</f>
        <v>300000</v>
      </c>
      <c r="M43" s="113">
        <f>Lähtötiedot_tuotot!$D$4</f>
        <v>300000</v>
      </c>
      <c r="N43" s="113">
        <f>Lähtötiedot_tuotot!$D$4</f>
        <v>300000</v>
      </c>
      <c r="O43" s="113">
        <f>Lähtötiedot_tuotot!$D$4</f>
        <v>300000</v>
      </c>
      <c r="P43" s="113">
        <f>Lähtötiedot_tuotot!$D$4</f>
        <v>300000</v>
      </c>
      <c r="Q43" s="113">
        <f>Lähtötiedot_tuotot!$D$4</f>
        <v>300000</v>
      </c>
      <c r="R43" s="113">
        <f>Lähtötiedot_tuotot!$D$4</f>
        <v>300000</v>
      </c>
      <c r="S43" s="113">
        <f>Lähtötiedot_tuotot!$D$4</f>
        <v>300000</v>
      </c>
      <c r="T43" s="113">
        <f>Lähtötiedot_tuotot!$D$4</f>
        <v>300000</v>
      </c>
      <c r="U43" s="113">
        <f>Lähtötiedot_tuotot!$D$4</f>
        <v>300000</v>
      </c>
      <c r="V43" s="113">
        <f>Lähtötiedot_tuotot!$D$4</f>
        <v>300000</v>
      </c>
      <c r="W43" s="113">
        <f>Lähtötiedot_tuotot!$D$4</f>
        <v>300000</v>
      </c>
      <c r="X43" s="113">
        <f>Lähtötiedot_tuotot!$D$4</f>
        <v>300000</v>
      </c>
      <c r="Y43" s="113">
        <f>Lähtötiedot_tuotot!$D$4</f>
        <v>300000</v>
      </c>
      <c r="Z43" s="114">
        <f>SUM(B43:Y43)</f>
        <v>6000000</v>
      </c>
      <c r="AA43" s="96" t="s">
        <v>47</v>
      </c>
    </row>
    <row r="44" spans="1:27" s="96" customFormat="1" ht="15" thickBot="1" x14ac:dyDescent="0.4">
      <c r="A44" s="115"/>
      <c r="B44" s="116"/>
      <c r="C44" s="116"/>
      <c r="D44" s="116"/>
      <c r="E44" s="116"/>
      <c r="F44" s="116"/>
      <c r="G44" s="116"/>
      <c r="H44" s="116"/>
      <c r="I44" s="116"/>
      <c r="J44" s="116"/>
      <c r="K44" s="116"/>
      <c r="L44" s="116"/>
      <c r="M44" s="116"/>
      <c r="N44" s="116"/>
      <c r="O44" s="116"/>
      <c r="P44" s="116"/>
      <c r="Q44" s="116"/>
      <c r="R44" s="116"/>
      <c r="S44" s="116"/>
      <c r="T44" s="116"/>
      <c r="U44" s="116"/>
      <c r="V44" s="116"/>
      <c r="W44" s="116"/>
      <c r="X44" s="116"/>
      <c r="Y44" s="117"/>
      <c r="Z44" s="118"/>
    </row>
    <row r="45" spans="1:27" x14ac:dyDescent="0.35">
      <c r="A45" s="9"/>
      <c r="B45" s="26"/>
      <c r="C45" s="26"/>
      <c r="D45" s="26"/>
      <c r="E45" s="26"/>
      <c r="F45" s="26"/>
      <c r="G45" s="26"/>
      <c r="H45" s="26"/>
      <c r="I45" s="26"/>
      <c r="J45" s="26"/>
      <c r="K45" s="26"/>
      <c r="L45" s="26"/>
      <c r="M45" s="26"/>
      <c r="N45" s="26"/>
      <c r="O45" s="26"/>
      <c r="P45" s="26"/>
      <c r="Q45" s="26"/>
      <c r="R45" s="26"/>
      <c r="S45" s="26"/>
      <c r="T45" s="26"/>
      <c r="U45" s="26"/>
      <c r="V45" s="26"/>
      <c r="W45" s="26"/>
      <c r="X45" s="26"/>
      <c r="Y45" s="27"/>
      <c r="Z45" s="30"/>
    </row>
    <row r="46" spans="1:27" x14ac:dyDescent="0.35">
      <c r="A46" s="9"/>
      <c r="B46" s="26"/>
      <c r="C46" s="26"/>
      <c r="D46" s="26"/>
      <c r="E46" s="26"/>
      <c r="F46" s="26"/>
      <c r="G46" s="26"/>
      <c r="H46" s="26"/>
      <c r="I46" s="26"/>
      <c r="J46" s="26"/>
      <c r="K46" s="26"/>
      <c r="L46" s="26"/>
      <c r="M46" s="26"/>
      <c r="N46" s="26"/>
      <c r="O46" s="26"/>
      <c r="P46" s="26"/>
      <c r="Q46" s="26"/>
      <c r="R46" s="26"/>
      <c r="S46" s="26"/>
      <c r="T46" s="26"/>
      <c r="U46" s="26"/>
      <c r="V46" s="26"/>
      <c r="W46" s="26"/>
      <c r="X46" s="26"/>
      <c r="Y46" s="27"/>
      <c r="Z46" s="30"/>
    </row>
    <row r="47" spans="1:27" ht="15.5" x14ac:dyDescent="0.35">
      <c r="A47" s="66" t="s">
        <v>74</v>
      </c>
      <c r="B47" s="26"/>
      <c r="C47" s="26"/>
      <c r="D47" s="26"/>
      <c r="E47" s="26"/>
      <c r="F47" s="26"/>
      <c r="G47" s="26"/>
      <c r="H47" s="26"/>
      <c r="I47" s="26"/>
      <c r="J47" s="26"/>
      <c r="K47" s="26"/>
      <c r="L47" s="26"/>
      <c r="M47" s="26"/>
      <c r="N47" s="26"/>
      <c r="O47" s="26"/>
      <c r="P47" s="26"/>
      <c r="Q47" s="26"/>
      <c r="R47" s="26"/>
      <c r="S47" s="26"/>
      <c r="T47" s="26"/>
      <c r="U47" s="26"/>
      <c r="V47" s="26"/>
      <c r="W47" s="26"/>
      <c r="X47" s="26"/>
      <c r="Y47" s="27"/>
      <c r="Z47" s="30"/>
    </row>
    <row r="48" spans="1:27" ht="28.5" customHeight="1" x14ac:dyDescent="0.35">
      <c r="A48" s="42" t="s">
        <v>44</v>
      </c>
      <c r="B48" s="43"/>
      <c r="C48" s="43"/>
      <c r="D48" s="43"/>
      <c r="E48" s="43"/>
      <c r="F48" s="43"/>
      <c r="G48" s="43"/>
      <c r="H48" s="43"/>
      <c r="I48" s="43"/>
      <c r="J48" s="43"/>
      <c r="K48" s="43"/>
      <c r="L48" s="43"/>
      <c r="M48" s="43"/>
      <c r="N48" s="43"/>
      <c r="O48" s="43"/>
      <c r="P48" s="43"/>
      <c r="Q48" s="43"/>
      <c r="R48" s="43"/>
      <c r="S48" s="43"/>
      <c r="T48" s="43"/>
      <c r="U48" s="43"/>
      <c r="V48" s="43"/>
      <c r="W48" s="43"/>
      <c r="X48" s="43"/>
      <c r="Y48" s="44"/>
      <c r="Z48" s="18"/>
    </row>
    <row r="49" spans="1:33" x14ac:dyDescent="0.35">
      <c r="A49" s="9" t="s">
        <v>45</v>
      </c>
      <c r="B49" s="11">
        <f t="shared" ref="B49:Y49" si="0">SUM(B16:B41)</f>
        <v>89429.73529411765</v>
      </c>
      <c r="C49" s="11">
        <f t="shared" si="0"/>
        <v>116914.2719200888</v>
      </c>
      <c r="D49" s="11">
        <f t="shared" si="0"/>
        <v>122990.59544950056</v>
      </c>
      <c r="E49" s="11">
        <f t="shared" si="0"/>
        <v>129066.91897891232</v>
      </c>
      <c r="F49" s="11">
        <f t="shared" si="0"/>
        <v>213544.07325194229</v>
      </c>
      <c r="G49" s="11">
        <f t="shared" si="0"/>
        <v>192135.86015538292</v>
      </c>
      <c r="H49" s="11">
        <f t="shared" si="0"/>
        <v>192135.86015538292</v>
      </c>
      <c r="I49" s="11">
        <f t="shared" si="0"/>
        <v>192135.86015538292</v>
      </c>
      <c r="J49" s="11">
        <f t="shared" si="0"/>
        <v>192135.86015538292</v>
      </c>
      <c r="K49" s="11">
        <f t="shared" si="0"/>
        <v>192135.86015538292</v>
      </c>
      <c r="L49" s="11">
        <f t="shared" si="0"/>
        <v>192135.86015538292</v>
      </c>
      <c r="M49" s="11">
        <f t="shared" si="0"/>
        <v>192135.86015538292</v>
      </c>
      <c r="N49" s="11">
        <f t="shared" si="0"/>
        <v>192135.86015538292</v>
      </c>
      <c r="O49" s="11">
        <f t="shared" si="0"/>
        <v>192135.86015538292</v>
      </c>
      <c r="P49" s="11">
        <f t="shared" si="0"/>
        <v>192135.86015538292</v>
      </c>
      <c r="Q49" s="11">
        <f t="shared" si="0"/>
        <v>192135.86015538292</v>
      </c>
      <c r="R49" s="11">
        <f t="shared" si="0"/>
        <v>192135.86015538292</v>
      </c>
      <c r="S49" s="11">
        <f t="shared" si="0"/>
        <v>192135.86015538292</v>
      </c>
      <c r="T49" s="11">
        <f t="shared" si="0"/>
        <v>192135.86015538292</v>
      </c>
      <c r="U49" s="11">
        <f t="shared" si="0"/>
        <v>192135.86015538292</v>
      </c>
      <c r="V49" s="11">
        <f t="shared" si="0"/>
        <v>222947.62486126527</v>
      </c>
      <c r="W49" s="11">
        <f t="shared" si="0"/>
        <v>216871.30133185349</v>
      </c>
      <c r="X49" s="11">
        <f t="shared" si="0"/>
        <v>210794.97780244175</v>
      </c>
      <c r="Y49" s="15">
        <f t="shared" si="0"/>
        <v>184528.08823529413</v>
      </c>
      <c r="Z49" s="19">
        <f>SUM(B49:Y49)</f>
        <v>4389125.4894561619</v>
      </c>
      <c r="AA49" t="s">
        <v>149</v>
      </c>
    </row>
    <row r="50" spans="1:33" x14ac:dyDescent="0.35">
      <c r="A50" s="8" t="s">
        <v>46</v>
      </c>
      <c r="B50" s="13">
        <f t="shared" ref="B50:Y50" si="1">SUM(B42:B44)</f>
        <v>0</v>
      </c>
      <c r="C50" s="13">
        <f t="shared" si="1"/>
        <v>0</v>
      </c>
      <c r="D50" s="13">
        <f t="shared" si="1"/>
        <v>0</v>
      </c>
      <c r="E50" s="13">
        <f t="shared" si="1"/>
        <v>0</v>
      </c>
      <c r="F50" s="13">
        <f t="shared" si="1"/>
        <v>300000</v>
      </c>
      <c r="G50" s="13">
        <f t="shared" si="1"/>
        <v>300000</v>
      </c>
      <c r="H50" s="13">
        <f t="shared" si="1"/>
        <v>300000</v>
      </c>
      <c r="I50" s="13">
        <f t="shared" si="1"/>
        <v>300000</v>
      </c>
      <c r="J50" s="13">
        <f t="shared" si="1"/>
        <v>300000</v>
      </c>
      <c r="K50" s="13">
        <f t="shared" si="1"/>
        <v>300000</v>
      </c>
      <c r="L50" s="13">
        <f t="shared" si="1"/>
        <v>300000</v>
      </c>
      <c r="M50" s="13">
        <f t="shared" si="1"/>
        <v>300000</v>
      </c>
      <c r="N50" s="13">
        <f t="shared" si="1"/>
        <v>300000</v>
      </c>
      <c r="O50" s="13">
        <f t="shared" si="1"/>
        <v>300000</v>
      </c>
      <c r="P50" s="13">
        <f t="shared" si="1"/>
        <v>300000</v>
      </c>
      <c r="Q50" s="13">
        <f t="shared" si="1"/>
        <v>300000</v>
      </c>
      <c r="R50" s="13">
        <f t="shared" si="1"/>
        <v>300000</v>
      </c>
      <c r="S50" s="13">
        <f t="shared" si="1"/>
        <v>300000</v>
      </c>
      <c r="T50" s="13">
        <f t="shared" si="1"/>
        <v>300000</v>
      </c>
      <c r="U50" s="13">
        <f t="shared" si="1"/>
        <v>300000</v>
      </c>
      <c r="V50" s="13">
        <f t="shared" ref="V50:X50" si="2">SUM(V42:V44)</f>
        <v>300000</v>
      </c>
      <c r="W50" s="13">
        <f t="shared" si="2"/>
        <v>300000</v>
      </c>
      <c r="X50" s="13">
        <f t="shared" si="2"/>
        <v>300000</v>
      </c>
      <c r="Y50" s="16">
        <f t="shared" si="1"/>
        <v>300000</v>
      </c>
      <c r="Z50" s="20">
        <f>SUM(B50:Y50)</f>
        <v>6000000</v>
      </c>
      <c r="AA50" t="s">
        <v>47</v>
      </c>
    </row>
    <row r="51" spans="1:33" x14ac:dyDescent="0.35">
      <c r="A51" s="12" t="s">
        <v>48</v>
      </c>
      <c r="B51" s="34">
        <f t="shared" ref="B51:Y51" si="3">SUM(B42:B44)-SUM(B16:B41)</f>
        <v>-89429.73529411765</v>
      </c>
      <c r="C51" s="34">
        <f t="shared" si="3"/>
        <v>-116914.2719200888</v>
      </c>
      <c r="D51" s="34">
        <f t="shared" si="3"/>
        <v>-122990.59544950056</v>
      </c>
      <c r="E51" s="34">
        <f t="shared" si="3"/>
        <v>-129066.91897891232</v>
      </c>
      <c r="F51" s="34">
        <f t="shared" si="3"/>
        <v>86455.926748057711</v>
      </c>
      <c r="G51" s="34">
        <f t="shared" si="3"/>
        <v>107864.13984461708</v>
      </c>
      <c r="H51" s="34">
        <f t="shared" si="3"/>
        <v>107864.13984461708</v>
      </c>
      <c r="I51" s="34">
        <f t="shared" si="3"/>
        <v>107864.13984461708</v>
      </c>
      <c r="J51" s="34">
        <f t="shared" si="3"/>
        <v>107864.13984461708</v>
      </c>
      <c r="K51" s="34">
        <f t="shared" si="3"/>
        <v>107864.13984461708</v>
      </c>
      <c r="L51" s="34">
        <f t="shared" si="3"/>
        <v>107864.13984461708</v>
      </c>
      <c r="M51" s="34">
        <f t="shared" si="3"/>
        <v>107864.13984461708</v>
      </c>
      <c r="N51" s="34">
        <f t="shared" si="3"/>
        <v>107864.13984461708</v>
      </c>
      <c r="O51" s="34">
        <f t="shared" si="3"/>
        <v>107864.13984461708</v>
      </c>
      <c r="P51" s="34">
        <f t="shared" si="3"/>
        <v>107864.13984461708</v>
      </c>
      <c r="Q51" s="34">
        <f t="shared" si="3"/>
        <v>107864.13984461708</v>
      </c>
      <c r="R51" s="34">
        <f t="shared" si="3"/>
        <v>107864.13984461708</v>
      </c>
      <c r="S51" s="34">
        <f t="shared" si="3"/>
        <v>107864.13984461708</v>
      </c>
      <c r="T51" s="34">
        <f t="shared" si="3"/>
        <v>107864.13984461708</v>
      </c>
      <c r="U51" s="34">
        <f t="shared" si="3"/>
        <v>107864.13984461708</v>
      </c>
      <c r="V51" s="34">
        <f t="shared" si="3"/>
        <v>77052.375138734729</v>
      </c>
      <c r="W51" s="34">
        <f t="shared" si="3"/>
        <v>83128.698668146506</v>
      </c>
      <c r="X51" s="34">
        <f t="shared" si="3"/>
        <v>89205.022197558254</v>
      </c>
      <c r="Y51" s="78">
        <f t="shared" si="3"/>
        <v>115471.91176470587</v>
      </c>
      <c r="Z51" s="31">
        <f>SUM(B51:Y51)</f>
        <v>1610874.5105438402</v>
      </c>
      <c r="AA51" t="s">
        <v>49</v>
      </c>
    </row>
    <row r="52" spans="1:33" x14ac:dyDescent="0.35">
      <c r="A52" s="22" t="s">
        <v>50</v>
      </c>
      <c r="B52" s="35">
        <f>SUM(B43:B44)-SUM(B18:B40)</f>
        <v>-89429.73529411765</v>
      </c>
      <c r="C52" s="35">
        <f t="shared" ref="C52:Y52" si="4">B52+(SUM(C42:C44)-SUM(C16:C41))</f>
        <v>-206344.00721420645</v>
      </c>
      <c r="D52" s="35">
        <f t="shared" si="4"/>
        <v>-329334.60266370699</v>
      </c>
      <c r="E52" s="35">
        <f t="shared" si="4"/>
        <v>-458401.52164261928</v>
      </c>
      <c r="F52" s="35">
        <f t="shared" si="4"/>
        <v>-371945.59489456157</v>
      </c>
      <c r="G52" s="35">
        <f t="shared" si="4"/>
        <v>-264081.45504994446</v>
      </c>
      <c r="H52" s="35">
        <f t="shared" si="4"/>
        <v>-156217.31520532738</v>
      </c>
      <c r="I52" s="35">
        <f t="shared" si="4"/>
        <v>-48353.175360710302</v>
      </c>
      <c r="J52" s="35">
        <f t="shared" si="4"/>
        <v>59510.964483906777</v>
      </c>
      <c r="K52" s="35">
        <f t="shared" si="4"/>
        <v>167375.10432852386</v>
      </c>
      <c r="L52" s="35">
        <f t="shared" si="4"/>
        <v>275239.24417314096</v>
      </c>
      <c r="M52" s="35">
        <f t="shared" si="4"/>
        <v>383103.38401775807</v>
      </c>
      <c r="N52" s="35">
        <f t="shared" si="4"/>
        <v>490967.52386237518</v>
      </c>
      <c r="O52" s="35">
        <f t="shared" si="4"/>
        <v>598831.66370699229</v>
      </c>
      <c r="P52" s="35">
        <f t="shared" si="4"/>
        <v>706695.8035516094</v>
      </c>
      <c r="Q52" s="35">
        <f t="shared" si="4"/>
        <v>814559.9433962265</v>
      </c>
      <c r="R52" s="35">
        <f t="shared" si="4"/>
        <v>922424.08324084361</v>
      </c>
      <c r="S52" s="35">
        <f t="shared" si="4"/>
        <v>1030288.2230854607</v>
      </c>
      <c r="T52" s="35">
        <f t="shared" si="4"/>
        <v>1138152.3629300778</v>
      </c>
      <c r="U52" s="35">
        <f t="shared" si="4"/>
        <v>1246016.5027746949</v>
      </c>
      <c r="V52" s="35">
        <f t="shared" si="4"/>
        <v>1323068.8779134296</v>
      </c>
      <c r="W52" s="35">
        <f t="shared" si="4"/>
        <v>1406197.5765815761</v>
      </c>
      <c r="X52" s="35">
        <f t="shared" si="4"/>
        <v>1495402.5987791345</v>
      </c>
      <c r="Y52" s="14">
        <f t="shared" si="4"/>
        <v>1610874.5105438402</v>
      </c>
      <c r="Z52" s="18"/>
    </row>
    <row r="53" spans="1:33" ht="29.5" customHeight="1" x14ac:dyDescent="0.35">
      <c r="A53" s="9" t="s">
        <v>51</v>
      </c>
      <c r="B53" t="str">
        <f>IF(B52&gt;0,"+","")</f>
        <v/>
      </c>
      <c r="C53" t="str">
        <f t="shared" ref="C53:Y53" si="5">IF(C52&gt;0,"+","")</f>
        <v/>
      </c>
      <c r="D53" t="str">
        <f t="shared" si="5"/>
        <v/>
      </c>
      <c r="E53" t="str">
        <f t="shared" si="5"/>
        <v/>
      </c>
      <c r="F53" t="str">
        <f t="shared" si="5"/>
        <v/>
      </c>
      <c r="G53" t="str">
        <f t="shared" si="5"/>
        <v/>
      </c>
      <c r="H53" t="str">
        <f t="shared" si="5"/>
        <v/>
      </c>
      <c r="I53" t="str">
        <f t="shared" si="5"/>
        <v/>
      </c>
      <c r="J53" t="str">
        <f t="shared" si="5"/>
        <v>+</v>
      </c>
      <c r="K53" t="str">
        <f t="shared" si="5"/>
        <v>+</v>
      </c>
      <c r="L53" t="str">
        <f t="shared" si="5"/>
        <v>+</v>
      </c>
      <c r="M53" t="str">
        <f t="shared" si="5"/>
        <v>+</v>
      </c>
      <c r="N53" t="str">
        <f t="shared" si="5"/>
        <v>+</v>
      </c>
      <c r="O53" t="str">
        <f t="shared" si="5"/>
        <v>+</v>
      </c>
      <c r="P53" t="str">
        <f t="shared" si="5"/>
        <v>+</v>
      </c>
      <c r="Q53" t="str">
        <f t="shared" si="5"/>
        <v>+</v>
      </c>
      <c r="R53" t="str">
        <f t="shared" si="5"/>
        <v>+</v>
      </c>
      <c r="S53" t="str">
        <f t="shared" si="5"/>
        <v>+</v>
      </c>
      <c r="T53" t="str">
        <f t="shared" si="5"/>
        <v>+</v>
      </c>
      <c r="U53" t="str">
        <f t="shared" si="5"/>
        <v>+</v>
      </c>
      <c r="V53" t="str">
        <f t="shared" si="5"/>
        <v>+</v>
      </c>
      <c r="W53" t="str">
        <f t="shared" si="5"/>
        <v>+</v>
      </c>
      <c r="X53" t="str">
        <f t="shared" si="5"/>
        <v>+</v>
      </c>
      <c r="Y53" s="9" t="str">
        <f t="shared" si="5"/>
        <v>+</v>
      </c>
      <c r="Z53" s="18"/>
    </row>
    <row r="54" spans="1:33" ht="30" customHeight="1" x14ac:dyDescent="0.35">
      <c r="A54" s="38" t="s">
        <v>52</v>
      </c>
      <c r="B54" s="39"/>
      <c r="C54" s="39"/>
      <c r="D54" s="39"/>
      <c r="E54" s="39"/>
      <c r="F54" s="39"/>
      <c r="G54" s="39"/>
      <c r="H54" s="39"/>
      <c r="I54" s="39"/>
      <c r="J54" s="40"/>
      <c r="K54" s="39"/>
      <c r="L54" s="39"/>
      <c r="M54" s="39"/>
      <c r="N54" s="39"/>
      <c r="O54" s="39"/>
      <c r="P54" s="39"/>
      <c r="Q54" s="39"/>
      <c r="R54" s="39"/>
      <c r="S54" s="39"/>
      <c r="T54" s="39"/>
      <c r="U54" s="39"/>
      <c r="V54" s="39"/>
      <c r="W54" s="39"/>
      <c r="X54" s="39"/>
      <c r="Y54" s="41"/>
      <c r="Z54" s="18"/>
    </row>
    <row r="55" spans="1:33" x14ac:dyDescent="0.35">
      <c r="A55" s="9" t="s">
        <v>53</v>
      </c>
      <c r="B55" s="11">
        <f t="shared" ref="B55:Y55" si="6">B49/(1+$B$5)^B15</f>
        <v>89429.73529411765</v>
      </c>
      <c r="C55" s="11">
        <f t="shared" si="6"/>
        <v>111346.9256381798</v>
      </c>
      <c r="D55" s="11">
        <f t="shared" si="6"/>
        <v>111556.09564580549</v>
      </c>
      <c r="E55" s="11">
        <f t="shared" si="6"/>
        <v>111492.8573406002</v>
      </c>
      <c r="F55" s="11">
        <f t="shared" si="6"/>
        <v>175683.23754151186</v>
      </c>
      <c r="G55" s="11">
        <f t="shared" si="6"/>
        <v>150543.47394866712</v>
      </c>
      <c r="H55" s="11">
        <f t="shared" si="6"/>
        <v>143374.7370939687</v>
      </c>
      <c r="I55" s="11">
        <f t="shared" si="6"/>
        <v>136547.36866092254</v>
      </c>
      <c r="J55" s="11">
        <f t="shared" si="6"/>
        <v>130045.11301040243</v>
      </c>
      <c r="K55" s="11">
        <f t="shared" si="6"/>
        <v>123852.48858133564</v>
      </c>
      <c r="L55" s="11">
        <f t="shared" si="6"/>
        <v>117954.75102984346</v>
      </c>
      <c r="M55" s="11">
        <f t="shared" si="6"/>
        <v>112337.85812366044</v>
      </c>
      <c r="N55" s="11">
        <f t="shared" si="6"/>
        <v>106988.43630824806</v>
      </c>
      <c r="O55" s="11">
        <f t="shared" si="6"/>
        <v>101893.74886499812</v>
      </c>
      <c r="P55" s="11">
        <f t="shared" si="6"/>
        <v>97041.66558571253</v>
      </c>
      <c r="Q55" s="11">
        <f t="shared" si="6"/>
        <v>92420.63389115475</v>
      </c>
      <c r="R55" s="11">
        <f t="shared" si="6"/>
        <v>88019.651324909297</v>
      </c>
      <c r="S55" s="11">
        <f t="shared" si="6"/>
        <v>83828.23935705646</v>
      </c>
      <c r="T55" s="11">
        <f t="shared" si="6"/>
        <v>79836.418435291867</v>
      </c>
      <c r="U55" s="11">
        <f t="shared" si="6"/>
        <v>76034.684224087498</v>
      </c>
      <c r="V55" s="11">
        <f t="shared" si="6"/>
        <v>84026.615041725992</v>
      </c>
      <c r="W55" s="11">
        <f t="shared" si="6"/>
        <v>77844.297722816147</v>
      </c>
      <c r="X55" s="11">
        <f t="shared" si="6"/>
        <v>72060.235987472028</v>
      </c>
      <c r="Y55" s="15">
        <f t="shared" si="6"/>
        <v>60077.050642948641</v>
      </c>
      <c r="Z55" s="19">
        <f>SUM(B55:Y55)</f>
        <v>2534236.3192954361</v>
      </c>
      <c r="AA55" t="s">
        <v>150</v>
      </c>
    </row>
    <row r="56" spans="1:33" x14ac:dyDescent="0.35">
      <c r="A56" s="9" t="s">
        <v>54</v>
      </c>
      <c r="B56" s="29">
        <f t="shared" ref="B56:Y56" si="7">B50/(1+$B$5)^B15</f>
        <v>0</v>
      </c>
      <c r="C56" s="11">
        <f t="shared" si="7"/>
        <v>0</v>
      </c>
      <c r="D56" s="11">
        <f t="shared" si="7"/>
        <v>0</v>
      </c>
      <c r="E56" s="11">
        <f t="shared" si="7"/>
        <v>0</v>
      </c>
      <c r="F56" s="11">
        <f t="shared" si="7"/>
        <v>246810.74243756459</v>
      </c>
      <c r="G56" s="11">
        <f t="shared" si="7"/>
        <v>235057.84994053768</v>
      </c>
      <c r="H56" s="11">
        <f t="shared" si="7"/>
        <v>223864.6189909883</v>
      </c>
      <c r="I56" s="11">
        <f t="shared" si="7"/>
        <v>213204.39903903645</v>
      </c>
      <c r="J56" s="11">
        <f t="shared" si="7"/>
        <v>203051.80860860617</v>
      </c>
      <c r="K56" s="11">
        <f t="shared" si="7"/>
        <v>193382.67486533918</v>
      </c>
      <c r="L56" s="11">
        <f t="shared" si="7"/>
        <v>184173.9760622278</v>
      </c>
      <c r="M56" s="11">
        <f t="shared" si="7"/>
        <v>175403.78672593122</v>
      </c>
      <c r="N56" s="11">
        <f t="shared" si="7"/>
        <v>167051.22545326786</v>
      </c>
      <c r="O56" s="11">
        <f t="shared" si="7"/>
        <v>159096.40519358841</v>
      </c>
      <c r="P56" s="11">
        <f t="shared" si="7"/>
        <v>151520.38589865566</v>
      </c>
      <c r="Q56" s="11">
        <f t="shared" si="7"/>
        <v>144305.12942729105</v>
      </c>
      <c r="R56" s="11">
        <f t="shared" si="7"/>
        <v>137433.45659742007</v>
      </c>
      <c r="S56" s="11">
        <f t="shared" si="7"/>
        <v>130889.00628325719</v>
      </c>
      <c r="T56" s="11">
        <f t="shared" si="7"/>
        <v>124656.19646024494</v>
      </c>
      <c r="U56" s="11">
        <f t="shared" si="7"/>
        <v>118720.18710499519</v>
      </c>
      <c r="V56" s="11">
        <f t="shared" si="7"/>
        <v>113066.84486190019</v>
      </c>
      <c r="W56" s="11">
        <f t="shared" si="7"/>
        <v>107682.70939228589</v>
      </c>
      <c r="X56" s="11">
        <f t="shared" si="7"/>
        <v>102554.96132598657</v>
      </c>
      <c r="Y56" s="15">
        <f t="shared" si="7"/>
        <v>97671.391739034807</v>
      </c>
      <c r="Z56" s="20">
        <f>SUM(B56:Y56)</f>
        <v>3229597.7564081587</v>
      </c>
      <c r="AA56" t="s">
        <v>55</v>
      </c>
    </row>
    <row r="57" spans="1:33" x14ac:dyDescent="0.35">
      <c r="A57" s="9"/>
      <c r="B57" s="2"/>
      <c r="Y57" s="9"/>
    </row>
    <row r="58" spans="1:33" x14ac:dyDescent="0.35">
      <c r="A58" s="36" t="s">
        <v>56</v>
      </c>
      <c r="B58" s="25">
        <f t="shared" ref="B58:Y58" si="8">B51/(1+$B$5)^B15</f>
        <v>-89429.73529411765</v>
      </c>
      <c r="C58" s="25">
        <f t="shared" si="8"/>
        <v>-111346.9256381798</v>
      </c>
      <c r="D58" s="25">
        <f t="shared" si="8"/>
        <v>-111556.09564580549</v>
      </c>
      <c r="E58" s="25">
        <f t="shared" si="8"/>
        <v>-111492.8573406002</v>
      </c>
      <c r="F58" s="25">
        <f t="shared" si="8"/>
        <v>71127.504896052749</v>
      </c>
      <c r="G58" s="25">
        <f t="shared" si="8"/>
        <v>84514.375991870576</v>
      </c>
      <c r="H58" s="25">
        <f t="shared" si="8"/>
        <v>80489.881897019601</v>
      </c>
      <c r="I58" s="25">
        <f t="shared" si="8"/>
        <v>76657.030378113894</v>
      </c>
      <c r="J58" s="25">
        <f t="shared" si="8"/>
        <v>73006.695598203718</v>
      </c>
      <c r="K58" s="25">
        <f t="shared" si="8"/>
        <v>69530.186284003546</v>
      </c>
      <c r="L58" s="25">
        <f t="shared" si="8"/>
        <v>66219.225032384318</v>
      </c>
      <c r="M58" s="25">
        <f t="shared" si="8"/>
        <v>63065.928602270782</v>
      </c>
      <c r="N58" s="25">
        <f t="shared" si="8"/>
        <v>60062.7891450198</v>
      </c>
      <c r="O58" s="25">
        <f t="shared" si="8"/>
        <v>57202.656328590274</v>
      </c>
      <c r="P58" s="25">
        <f t="shared" si="8"/>
        <v>54478.720312943129</v>
      </c>
      <c r="Q58" s="25">
        <f t="shared" si="8"/>
        <v>51884.495536136295</v>
      </c>
      <c r="R58" s="25">
        <f t="shared" si="8"/>
        <v>49413.805272510763</v>
      </c>
      <c r="S58" s="25">
        <f t="shared" si="8"/>
        <v>47060.766926200726</v>
      </c>
      <c r="T58" s="25">
        <f t="shared" si="8"/>
        <v>44819.77802495307</v>
      </c>
      <c r="U58" s="25">
        <f t="shared" si="8"/>
        <v>42685.502880907683</v>
      </c>
      <c r="V58" s="25">
        <f t="shared" si="8"/>
        <v>29040.22982017418</v>
      </c>
      <c r="W58" s="25">
        <f t="shared" si="8"/>
        <v>29838.411669469744</v>
      </c>
      <c r="X58" s="25">
        <f t="shared" si="8"/>
        <v>30494.725338514534</v>
      </c>
      <c r="Y58" s="37">
        <f t="shared" si="8"/>
        <v>37594.341096086166</v>
      </c>
      <c r="Z58" s="31">
        <f>SUM(B58:Y58)</f>
        <v>695361.43711272255</v>
      </c>
      <c r="AA58" t="s">
        <v>75</v>
      </c>
    </row>
    <row r="59" spans="1:33" x14ac:dyDescent="0.35">
      <c r="A59" s="9" t="s">
        <v>57</v>
      </c>
      <c r="B59" s="11">
        <f>B58</f>
        <v>-89429.73529411765</v>
      </c>
      <c r="C59" s="11">
        <f>B59+C58</f>
        <v>-200776.66093229747</v>
      </c>
      <c r="D59" s="11">
        <f t="shared" ref="D59:U59" si="9">C59+D58</f>
        <v>-312332.75657810294</v>
      </c>
      <c r="E59" s="11">
        <f t="shared" si="9"/>
        <v>-423825.61391870317</v>
      </c>
      <c r="F59" s="11">
        <f t="shared" si="9"/>
        <v>-352698.1090226504</v>
      </c>
      <c r="G59" s="11">
        <f t="shared" si="9"/>
        <v>-268183.73303077981</v>
      </c>
      <c r="H59" s="11">
        <f t="shared" si="9"/>
        <v>-187693.85113376021</v>
      </c>
      <c r="I59" s="11">
        <f t="shared" si="9"/>
        <v>-111036.82075564632</v>
      </c>
      <c r="J59" s="11">
        <f>I59+J58</f>
        <v>-38030.125157442599</v>
      </c>
      <c r="K59" s="11">
        <f>J59+K58</f>
        <v>31500.061126560948</v>
      </c>
      <c r="L59" s="11">
        <f t="shared" si="9"/>
        <v>97719.286158945266</v>
      </c>
      <c r="M59" s="11">
        <f t="shared" si="9"/>
        <v>160785.21476121605</v>
      </c>
      <c r="N59" s="11">
        <f t="shared" si="9"/>
        <v>220848.00390623586</v>
      </c>
      <c r="O59" s="11">
        <f t="shared" si="9"/>
        <v>278050.66023482615</v>
      </c>
      <c r="P59" s="11">
        <f t="shared" si="9"/>
        <v>332529.38054776925</v>
      </c>
      <c r="Q59" s="11">
        <f t="shared" si="9"/>
        <v>384413.87608390558</v>
      </c>
      <c r="R59" s="11">
        <f t="shared" si="9"/>
        <v>433827.68135641632</v>
      </c>
      <c r="S59" s="11">
        <f t="shared" si="9"/>
        <v>480888.44828261703</v>
      </c>
      <c r="T59" s="11">
        <f t="shared" si="9"/>
        <v>525708.22630757012</v>
      </c>
      <c r="U59" s="11">
        <f t="shared" si="9"/>
        <v>568393.72918847785</v>
      </c>
      <c r="V59" s="11">
        <f t="shared" ref="V59" si="10">U59+V58</f>
        <v>597433.95900865202</v>
      </c>
      <c r="W59" s="11">
        <f t="shared" ref="W59" si="11">V59+W58</f>
        <v>627272.37067812181</v>
      </c>
      <c r="X59" s="11">
        <f t="shared" ref="X59" si="12">W59+X58</f>
        <v>657767.09601663635</v>
      </c>
      <c r="Y59" s="15">
        <f t="shared" ref="Y59" si="13">X59+Y58</f>
        <v>695361.43711272255</v>
      </c>
      <c r="Z59" s="18"/>
    </row>
    <row r="60" spans="1:33" x14ac:dyDescent="0.35">
      <c r="A60" s="9" t="s">
        <v>58</v>
      </c>
      <c r="B60" t="str">
        <f>IF(B59&gt;0,"+","")</f>
        <v/>
      </c>
      <c r="C60" t="str">
        <f t="shared" ref="C60:Y60" si="14">IF(C59&gt;0,"+","")</f>
        <v/>
      </c>
      <c r="D60" t="str">
        <f t="shared" si="14"/>
        <v/>
      </c>
      <c r="E60" t="str">
        <f t="shared" si="14"/>
        <v/>
      </c>
      <c r="F60" t="str">
        <f t="shared" si="14"/>
        <v/>
      </c>
      <c r="G60" t="str">
        <f t="shared" si="14"/>
        <v/>
      </c>
      <c r="H60" t="str">
        <f t="shared" si="14"/>
        <v/>
      </c>
      <c r="I60" t="str">
        <f t="shared" si="14"/>
        <v/>
      </c>
      <c r="J60" t="str">
        <f t="shared" si="14"/>
        <v/>
      </c>
      <c r="K60" t="str">
        <f t="shared" si="14"/>
        <v>+</v>
      </c>
      <c r="L60" t="str">
        <f t="shared" si="14"/>
        <v>+</v>
      </c>
      <c r="M60" t="str">
        <f t="shared" si="14"/>
        <v>+</v>
      </c>
      <c r="N60" t="str">
        <f t="shared" si="14"/>
        <v>+</v>
      </c>
      <c r="O60" t="str">
        <f t="shared" si="14"/>
        <v>+</v>
      </c>
      <c r="P60" t="str">
        <f t="shared" si="14"/>
        <v>+</v>
      </c>
      <c r="Q60" t="str">
        <f t="shared" si="14"/>
        <v>+</v>
      </c>
      <c r="R60" t="str">
        <f t="shared" si="14"/>
        <v>+</v>
      </c>
      <c r="S60" t="str">
        <f t="shared" si="14"/>
        <v>+</v>
      </c>
      <c r="T60" t="str">
        <f t="shared" si="14"/>
        <v>+</v>
      </c>
      <c r="U60" t="str">
        <f t="shared" si="14"/>
        <v>+</v>
      </c>
      <c r="V60" t="str">
        <f t="shared" si="14"/>
        <v>+</v>
      </c>
      <c r="W60" t="str">
        <f t="shared" si="14"/>
        <v>+</v>
      </c>
      <c r="X60" t="str">
        <f t="shared" si="14"/>
        <v>+</v>
      </c>
      <c r="Y60" s="9" t="str">
        <f t="shared" si="14"/>
        <v>+</v>
      </c>
      <c r="AA60" s="2"/>
    </row>
    <row r="61" spans="1:33" x14ac:dyDescent="0.35">
      <c r="B61" s="2"/>
      <c r="U61" s="2"/>
      <c r="V61" s="2"/>
      <c r="W61" s="2"/>
      <c r="X61" s="2"/>
      <c r="Y61" s="9"/>
    </row>
    <row r="62" spans="1:33" ht="18.5" x14ac:dyDescent="0.45">
      <c r="A62" s="23"/>
      <c r="H62" s="23"/>
    </row>
    <row r="63" spans="1:33" ht="18.5" x14ac:dyDescent="0.45">
      <c r="A63" s="74"/>
      <c r="B63" s="65"/>
      <c r="C63" s="73"/>
      <c r="H63" s="33"/>
      <c r="L63" s="21"/>
      <c r="AF63">
        <v>0.1283</v>
      </c>
      <c r="AG63" t="s">
        <v>59</v>
      </c>
    </row>
    <row r="64" spans="1:33" ht="18.5" x14ac:dyDescent="0.45">
      <c r="A64" s="71"/>
      <c r="B64" s="72"/>
      <c r="C64" s="3"/>
      <c r="H64" s="33"/>
      <c r="L64" s="21"/>
      <c r="AG64" t="s">
        <v>60</v>
      </c>
    </row>
    <row r="65" spans="1:24" ht="18.5" x14ac:dyDescent="0.45">
      <c r="A65" s="71"/>
      <c r="B65" s="32"/>
      <c r="C65" s="3"/>
      <c r="H65" s="33"/>
      <c r="L65" s="21"/>
    </row>
    <row r="66" spans="1:24" ht="18.5" x14ac:dyDescent="0.45">
      <c r="A66" s="71"/>
      <c r="B66" s="72"/>
      <c r="C66" s="3"/>
      <c r="H66" s="33"/>
      <c r="L66" s="21"/>
    </row>
    <row r="67" spans="1:24" ht="18.5" x14ac:dyDescent="0.45">
      <c r="A67" s="71"/>
      <c r="B67" s="32"/>
      <c r="C67" s="3"/>
      <c r="H67" s="33"/>
      <c r="L67" s="21"/>
    </row>
    <row r="68" spans="1:24" x14ac:dyDescent="0.35">
      <c r="U68" s="17"/>
      <c r="V68" s="17"/>
      <c r="W68" s="17"/>
      <c r="X68" s="17"/>
    </row>
    <row r="69" spans="1:24" ht="32.25" customHeight="1" x14ac:dyDescent="0.45">
      <c r="D69" s="51"/>
      <c r="E69" s="3"/>
      <c r="O69" s="3"/>
      <c r="P69" s="33"/>
    </row>
    <row r="71" spans="1:24" ht="18.5" x14ac:dyDescent="0.45">
      <c r="D71" s="51"/>
      <c r="E71" s="3"/>
      <c r="O71" s="3"/>
    </row>
    <row r="72" spans="1:24" ht="18.5" x14ac:dyDescent="0.45">
      <c r="D72" s="3"/>
      <c r="E72" s="3"/>
      <c r="O72" s="3"/>
    </row>
    <row r="76" spans="1:24" x14ac:dyDescent="0.35">
      <c r="A76" s="45"/>
    </row>
    <row r="77" spans="1:24" x14ac:dyDescent="0.35">
      <c r="A77" s="45"/>
    </row>
    <row r="78" spans="1:24" x14ac:dyDescent="0.35">
      <c r="A78" s="50"/>
    </row>
    <row r="79" spans="1:24" x14ac:dyDescent="0.35">
      <c r="A79" s="45"/>
    </row>
    <row r="86" ht="16.5" customHeight="1" x14ac:dyDescent="0.35"/>
    <row r="87" ht="13.5" customHeight="1" x14ac:dyDescent="0.35"/>
    <row r="88" ht="13.5" customHeight="1" x14ac:dyDescent="0.35"/>
    <row r="126" spans="2:2" ht="18.5" x14ac:dyDescent="0.45">
      <c r="B126" s="3"/>
    </row>
    <row r="133" spans="1:2" ht="18.5" x14ac:dyDescent="0.45">
      <c r="B133" s="3"/>
    </row>
    <row r="140" spans="1:2" ht="18.5" x14ac:dyDescent="0.45">
      <c r="A140" s="3"/>
    </row>
    <row r="145" spans="1:1" x14ac:dyDescent="0.35">
      <c r="A145" s="4"/>
    </row>
  </sheetData>
  <sheetProtection algorithmName="SHA-512" hashValue="vJgCjdF7GNTSeEdAbB7qcMfRgfaLFxkmfGuMZtDfGMCE30rvE4E1XmUVF6eZi3LexCaonvUVfN7Huv4QwYsKjQ==" saltValue="Ah2MW/gQqKlM9OwqGJ5WDg==" spinCount="100000" sheet="1" formatCells="0" formatColumns="0" formatRows="0" insertColumns="0" insertRows="0" insertHyperlinks="0" deleteColumns="0" deleteRows="0" sort="0" autoFilter="0" pivotTables="0"/>
  <pageMargins left="0.75" right="0.75" top="1" bottom="1" header="0.5" footer="0.5"/>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704D77-7A09-4C2E-8AC1-440092C4856D}">
  <dimension ref="A1:R82"/>
  <sheetViews>
    <sheetView topLeftCell="A25" zoomScale="115" zoomScaleNormal="115" workbookViewId="0">
      <selection activeCell="B61" sqref="B61"/>
    </sheetView>
  </sheetViews>
  <sheetFormatPr defaultRowHeight="14.5" x14ac:dyDescent="0.35"/>
  <cols>
    <col min="1" max="1" width="52.1796875" customWidth="1"/>
    <col min="2" max="3" width="16.90625" customWidth="1"/>
    <col min="4" max="4" width="26.453125" customWidth="1"/>
    <col min="5" max="5" width="85.54296875" customWidth="1"/>
    <col min="6" max="6" width="107.26953125" customWidth="1"/>
  </cols>
  <sheetData>
    <row r="1" spans="1:6" ht="18.5" x14ac:dyDescent="0.45">
      <c r="A1" s="126" t="s">
        <v>109</v>
      </c>
      <c r="B1" s="126"/>
      <c r="C1" s="126"/>
    </row>
    <row r="2" spans="1:6" ht="18.5" x14ac:dyDescent="0.45">
      <c r="A2" s="3"/>
      <c r="B2" s="3"/>
      <c r="C2" s="3"/>
    </row>
    <row r="3" spans="1:6" ht="18.5" x14ac:dyDescent="0.45">
      <c r="A3" s="3" t="s">
        <v>126</v>
      </c>
      <c r="B3" s="3"/>
      <c r="C3" s="3"/>
    </row>
    <row r="4" spans="1:6" x14ac:dyDescent="0.35">
      <c r="A4" t="s">
        <v>128</v>
      </c>
      <c r="B4" t="s">
        <v>129</v>
      </c>
      <c r="C4" t="s">
        <v>91</v>
      </c>
    </row>
    <row r="5" spans="1:6" x14ac:dyDescent="0.35">
      <c r="A5" t="s">
        <v>120</v>
      </c>
      <c r="B5">
        <v>5000</v>
      </c>
      <c r="C5" t="s">
        <v>81</v>
      </c>
    </row>
    <row r="6" spans="1:6" x14ac:dyDescent="0.35">
      <c r="A6" t="s">
        <v>121</v>
      </c>
      <c r="B6">
        <v>6.8</v>
      </c>
      <c r="C6" t="s">
        <v>82</v>
      </c>
    </row>
    <row r="7" spans="1:6" x14ac:dyDescent="0.35">
      <c r="A7" t="s">
        <v>83</v>
      </c>
      <c r="B7">
        <v>0.36</v>
      </c>
      <c r="C7" t="s">
        <v>84</v>
      </c>
    </row>
    <row r="8" spans="1:6" x14ac:dyDescent="0.35">
      <c r="A8" t="s">
        <v>122</v>
      </c>
      <c r="B8" s="76">
        <f>B6/B7</f>
        <v>18.888888888888889</v>
      </c>
      <c r="C8" t="s">
        <v>79</v>
      </c>
    </row>
    <row r="9" spans="1:6" x14ac:dyDescent="0.35">
      <c r="A9" t="s">
        <v>123</v>
      </c>
      <c r="B9" s="76">
        <f>B8*2.5</f>
        <v>47.222222222222221</v>
      </c>
      <c r="C9" t="s">
        <v>78</v>
      </c>
    </row>
    <row r="10" spans="1:6" x14ac:dyDescent="0.35">
      <c r="A10" t="s">
        <v>85</v>
      </c>
      <c r="B10" s="91">
        <f>B5/B9</f>
        <v>105.88235294117648</v>
      </c>
      <c r="C10" t="s">
        <v>86</v>
      </c>
    </row>
    <row r="11" spans="1:6" x14ac:dyDescent="0.35">
      <c r="A11" t="s">
        <v>130</v>
      </c>
      <c r="B11" s="76">
        <f>B10/4</f>
        <v>26.47058823529412</v>
      </c>
      <c r="C11" t="s">
        <v>86</v>
      </c>
    </row>
    <row r="12" spans="1:6" x14ac:dyDescent="0.35">
      <c r="A12" t="s">
        <v>90</v>
      </c>
      <c r="B12">
        <f>B11*B6</f>
        <v>180</v>
      </c>
      <c r="C12" t="s">
        <v>82</v>
      </c>
    </row>
    <row r="13" spans="1:6" ht="18.5" x14ac:dyDescent="0.45">
      <c r="A13" s="3"/>
      <c r="B13" s="3"/>
      <c r="C13" s="3"/>
    </row>
    <row r="14" spans="1:6" ht="18.5" x14ac:dyDescent="0.45">
      <c r="A14" s="82" t="s">
        <v>127</v>
      </c>
    </row>
    <row r="15" spans="1:6" x14ac:dyDescent="0.35">
      <c r="A15" t="s">
        <v>3</v>
      </c>
      <c r="B15" t="s">
        <v>112</v>
      </c>
      <c r="C15" t="s">
        <v>91</v>
      </c>
      <c r="D15" t="s">
        <v>4</v>
      </c>
      <c r="E15" t="s">
        <v>5</v>
      </c>
      <c r="F15" t="s">
        <v>70</v>
      </c>
    </row>
    <row r="16" spans="1:6" x14ac:dyDescent="0.35">
      <c r="A16" s="70" t="s">
        <v>6</v>
      </c>
      <c r="B16" s="52"/>
      <c r="C16" s="52"/>
      <c r="D16" s="52"/>
      <c r="E16" s="52"/>
      <c r="F16" s="52"/>
    </row>
    <row r="17" spans="1:11" x14ac:dyDescent="0.35">
      <c r="A17" s="52" t="s">
        <v>7</v>
      </c>
      <c r="B17" s="53">
        <v>752.4</v>
      </c>
      <c r="C17" s="53" t="s">
        <v>0</v>
      </c>
      <c r="D17" s="53" t="s">
        <v>8</v>
      </c>
      <c r="E17" s="5" t="s">
        <v>67</v>
      </c>
      <c r="F17" s="52"/>
    </row>
    <row r="18" spans="1:11" x14ac:dyDescent="0.35">
      <c r="A18" s="52" t="s">
        <v>9</v>
      </c>
      <c r="B18" s="52">
        <v>44</v>
      </c>
      <c r="C18" s="53" t="s">
        <v>0</v>
      </c>
      <c r="D18" s="52" t="s">
        <v>2</v>
      </c>
      <c r="E18" s="52" t="s">
        <v>77</v>
      </c>
      <c r="F18" s="52" t="s">
        <v>10</v>
      </c>
    </row>
    <row r="19" spans="1:11" x14ac:dyDescent="0.35">
      <c r="A19" s="67" t="s">
        <v>11</v>
      </c>
      <c r="B19" s="53">
        <v>150.84</v>
      </c>
      <c r="C19" s="53" t="s">
        <v>0</v>
      </c>
      <c r="D19" s="52" t="s">
        <v>12</v>
      </c>
      <c r="E19" s="52" t="s">
        <v>13</v>
      </c>
      <c r="F19" s="52" t="s">
        <v>14</v>
      </c>
    </row>
    <row r="20" spans="1:11" ht="29" x14ac:dyDescent="0.35">
      <c r="A20" s="68" t="s">
        <v>15</v>
      </c>
      <c r="B20" s="54">
        <v>216.66666666666669</v>
      </c>
      <c r="C20" s="53" t="s">
        <v>0</v>
      </c>
      <c r="D20" s="5" t="s">
        <v>16</v>
      </c>
      <c r="E20" s="5" t="s">
        <v>17</v>
      </c>
      <c r="F20" s="55" t="s">
        <v>64</v>
      </c>
      <c r="H20" s="7"/>
      <c r="I20" s="1"/>
      <c r="J20" s="1"/>
      <c r="K20" s="1"/>
    </row>
    <row r="21" spans="1:11" s="1" customFormat="1" ht="30.65" customHeight="1" x14ac:dyDescent="0.35">
      <c r="A21" s="67" t="s">
        <v>18</v>
      </c>
      <c r="B21" s="64">
        <v>762.75471698113211</v>
      </c>
      <c r="C21" s="53" t="s">
        <v>0</v>
      </c>
      <c r="D21" s="53" t="s">
        <v>19</v>
      </c>
      <c r="E21" s="5" t="s">
        <v>65</v>
      </c>
      <c r="F21" s="52"/>
    </row>
    <row r="22" spans="1:11" x14ac:dyDescent="0.35">
      <c r="A22" s="67" t="s">
        <v>20</v>
      </c>
      <c r="B22" s="56">
        <v>271</v>
      </c>
      <c r="C22" s="53" t="s">
        <v>0</v>
      </c>
      <c r="D22" s="53" t="s">
        <v>8</v>
      </c>
      <c r="E22" s="52" t="s">
        <v>21</v>
      </c>
      <c r="F22" s="52" t="s">
        <v>22</v>
      </c>
    </row>
    <row r="23" spans="1:11" x14ac:dyDescent="0.35">
      <c r="A23" s="69" t="s">
        <v>23</v>
      </c>
      <c r="B23" s="57"/>
      <c r="C23" s="57"/>
      <c r="D23" s="58"/>
      <c r="E23" s="58"/>
      <c r="F23" s="52"/>
    </row>
    <row r="24" spans="1:11" x14ac:dyDescent="0.35">
      <c r="A24" s="67"/>
      <c r="B24" s="52"/>
      <c r="C24" s="52"/>
      <c r="D24" s="52"/>
      <c r="E24" s="52"/>
      <c r="F24" s="52"/>
    </row>
    <row r="25" spans="1:11" x14ac:dyDescent="0.35">
      <c r="A25" s="70" t="s">
        <v>24</v>
      </c>
      <c r="B25" s="52"/>
      <c r="C25" s="52"/>
      <c r="D25" s="52"/>
      <c r="E25" s="52"/>
      <c r="F25" s="52"/>
    </row>
    <row r="26" spans="1:11" x14ac:dyDescent="0.35">
      <c r="A26" s="59" t="s">
        <v>25</v>
      </c>
      <c r="B26" s="58">
        <v>1560</v>
      </c>
      <c r="C26" s="53" t="s">
        <v>0</v>
      </c>
      <c r="D26" s="60" t="s">
        <v>8</v>
      </c>
      <c r="E26" s="61" t="s">
        <v>26</v>
      </c>
      <c r="F26" s="58" t="s">
        <v>27</v>
      </c>
    </row>
    <row r="27" spans="1:11" x14ac:dyDescent="0.35">
      <c r="A27" s="52" t="s">
        <v>28</v>
      </c>
      <c r="B27" s="53">
        <v>425</v>
      </c>
      <c r="C27" s="53" t="s">
        <v>0</v>
      </c>
      <c r="D27" s="52" t="s">
        <v>16</v>
      </c>
      <c r="E27" s="52" t="s">
        <v>63</v>
      </c>
      <c r="F27" s="52"/>
    </row>
    <row r="28" spans="1:11" x14ac:dyDescent="0.35">
      <c r="A28" s="52" t="s">
        <v>29</v>
      </c>
      <c r="B28" s="52">
        <v>46</v>
      </c>
      <c r="C28" s="53" t="s">
        <v>0</v>
      </c>
      <c r="D28" s="58" t="s">
        <v>2</v>
      </c>
      <c r="E28" s="52" t="s">
        <v>62</v>
      </c>
      <c r="F28" s="52"/>
    </row>
    <row r="29" spans="1:11" x14ac:dyDescent="0.35">
      <c r="A29" s="52"/>
      <c r="B29" s="52"/>
      <c r="C29" s="52"/>
      <c r="D29" s="52"/>
      <c r="E29" s="52"/>
      <c r="F29" s="52"/>
    </row>
    <row r="30" spans="1:11" x14ac:dyDescent="0.35">
      <c r="A30" s="70" t="s">
        <v>30</v>
      </c>
      <c r="B30" s="52"/>
      <c r="C30" s="52"/>
      <c r="D30" s="52"/>
      <c r="E30" s="52"/>
      <c r="F30" s="52"/>
    </row>
    <row r="31" spans="1:11" x14ac:dyDescent="0.35">
      <c r="A31" s="52" t="s">
        <v>66</v>
      </c>
      <c r="B31" s="53">
        <v>1006.4</v>
      </c>
      <c r="C31" s="53" t="s">
        <v>113</v>
      </c>
      <c r="D31" s="60" t="s">
        <v>8</v>
      </c>
      <c r="E31" s="5" t="s">
        <v>131</v>
      </c>
      <c r="F31" s="56"/>
    </row>
    <row r="32" spans="1:11" ht="29" x14ac:dyDescent="0.35">
      <c r="A32" s="52" t="s">
        <v>31</v>
      </c>
      <c r="B32" s="53">
        <v>762.75471698113211</v>
      </c>
      <c r="C32" s="53" t="s">
        <v>0</v>
      </c>
      <c r="D32" s="83" t="s">
        <v>19</v>
      </c>
      <c r="E32" s="5" t="s">
        <v>73</v>
      </c>
      <c r="F32" s="52"/>
    </row>
    <row r="33" spans="1:6" x14ac:dyDescent="0.35">
      <c r="A33" s="52"/>
      <c r="B33" s="53"/>
      <c r="C33" s="53"/>
      <c r="D33" s="53"/>
      <c r="E33" s="52"/>
      <c r="F33" s="52"/>
    </row>
    <row r="34" spans="1:6" x14ac:dyDescent="0.35">
      <c r="A34" s="70" t="s">
        <v>32</v>
      </c>
      <c r="B34" s="52"/>
      <c r="C34" s="52"/>
      <c r="D34" s="52"/>
      <c r="E34" s="52"/>
      <c r="F34" s="52"/>
    </row>
    <row r="35" spans="1:6" x14ac:dyDescent="0.35">
      <c r="A35" s="6" t="s">
        <v>33</v>
      </c>
      <c r="B35" s="62">
        <v>1164</v>
      </c>
      <c r="C35" s="53" t="s">
        <v>0</v>
      </c>
      <c r="D35" s="58" t="s">
        <v>2</v>
      </c>
      <c r="E35" s="5" t="s">
        <v>1</v>
      </c>
      <c r="F35" s="52"/>
    </row>
    <row r="36" spans="1:6" ht="13.5" customHeight="1" x14ac:dyDescent="0.35">
      <c r="A36" s="52"/>
      <c r="B36" s="52"/>
      <c r="C36" s="52"/>
      <c r="D36" s="52"/>
      <c r="E36" s="52"/>
      <c r="F36" s="52"/>
    </row>
    <row r="37" spans="1:6" x14ac:dyDescent="0.35">
      <c r="A37" s="70" t="s">
        <v>34</v>
      </c>
      <c r="B37" s="52"/>
      <c r="C37" s="52"/>
      <c r="D37" s="52"/>
      <c r="E37" s="52"/>
      <c r="F37" s="52"/>
    </row>
    <row r="38" spans="1:6" x14ac:dyDescent="0.35">
      <c r="A38" t="s">
        <v>71</v>
      </c>
      <c r="B38" s="63">
        <v>229.55</v>
      </c>
      <c r="C38" s="53" t="s">
        <v>69</v>
      </c>
      <c r="D38" s="60" t="s">
        <v>8</v>
      </c>
      <c r="E38" s="52" t="s">
        <v>72</v>
      </c>
      <c r="F38" s="52"/>
    </row>
    <row r="39" spans="1:6" x14ac:dyDescent="0.35">
      <c r="A39" s="52"/>
      <c r="B39" s="52"/>
      <c r="C39" s="52"/>
      <c r="D39" s="52"/>
      <c r="E39" s="52"/>
      <c r="F39" s="52"/>
    </row>
    <row r="40" spans="1:6" x14ac:dyDescent="0.35">
      <c r="A40" s="70" t="s">
        <v>80</v>
      </c>
      <c r="B40" s="52"/>
      <c r="C40" s="52"/>
      <c r="D40" s="52"/>
      <c r="E40" s="5"/>
      <c r="F40" s="52"/>
    </row>
    <row r="41" spans="1:6" x14ac:dyDescent="0.35">
      <c r="A41" s="5" t="s">
        <v>119</v>
      </c>
      <c r="B41" s="52">
        <v>3500</v>
      </c>
      <c r="C41" s="52" t="s">
        <v>92</v>
      </c>
      <c r="D41" s="52" t="s">
        <v>110</v>
      </c>
      <c r="E41" s="52" t="s">
        <v>111</v>
      </c>
      <c r="F41" s="52"/>
    </row>
    <row r="42" spans="1:6" x14ac:dyDescent="0.35">
      <c r="A42" s="52"/>
      <c r="B42" s="52"/>
      <c r="C42" s="52"/>
      <c r="D42" s="52"/>
      <c r="E42" s="52"/>
      <c r="F42" s="52"/>
    </row>
    <row r="43" spans="1:6" x14ac:dyDescent="0.35">
      <c r="A43" s="70" t="s">
        <v>118</v>
      </c>
      <c r="B43" s="52"/>
      <c r="C43" s="52"/>
      <c r="D43" s="52"/>
      <c r="E43" s="52"/>
      <c r="F43" s="52"/>
    </row>
    <row r="44" spans="1:6" x14ac:dyDescent="0.35">
      <c r="A44" s="52" t="s">
        <v>105</v>
      </c>
      <c r="B44" s="52">
        <f>0.2*325000</f>
        <v>65000</v>
      </c>
      <c r="C44" s="52" t="s">
        <v>92</v>
      </c>
      <c r="D44" s="52" t="s">
        <v>114</v>
      </c>
      <c r="E44" s="52" t="s">
        <v>125</v>
      </c>
      <c r="F44" s="52"/>
    </row>
    <row r="45" spans="1:6" x14ac:dyDescent="0.35">
      <c r="A45" s="52" t="s">
        <v>101</v>
      </c>
      <c r="B45" s="52">
        <f>5*10000</f>
        <v>50000</v>
      </c>
      <c r="C45" s="52" t="s">
        <v>92</v>
      </c>
      <c r="D45" s="52" t="s">
        <v>115</v>
      </c>
      <c r="E45" s="52" t="s">
        <v>124</v>
      </c>
      <c r="F45" s="52"/>
    </row>
    <row r="46" spans="1:6" x14ac:dyDescent="0.35">
      <c r="A46" s="52" t="s">
        <v>107</v>
      </c>
      <c r="B46" s="52">
        <v>2500</v>
      </c>
      <c r="C46" s="52" t="s">
        <v>92</v>
      </c>
      <c r="D46" s="52" t="s">
        <v>116</v>
      </c>
      <c r="E46" s="52" t="s">
        <v>117</v>
      </c>
      <c r="F46" s="52"/>
    </row>
    <row r="47" spans="1:6" x14ac:dyDescent="0.35">
      <c r="A47" s="52"/>
      <c r="B47" s="52"/>
      <c r="C47" s="52"/>
      <c r="D47" s="52"/>
      <c r="E47" s="52"/>
      <c r="F47" s="52"/>
    </row>
    <row r="50" spans="1:1" x14ac:dyDescent="0.35">
      <c r="A50" s="84" t="s">
        <v>135</v>
      </c>
    </row>
    <row r="51" spans="1:1" x14ac:dyDescent="0.35">
      <c r="A51" t="s">
        <v>136</v>
      </c>
    </row>
    <row r="52" spans="1:1" x14ac:dyDescent="0.35">
      <c r="A52" t="s">
        <v>137</v>
      </c>
    </row>
    <row r="53" spans="1:1" x14ac:dyDescent="0.35">
      <c r="A53" t="s">
        <v>138</v>
      </c>
    </row>
    <row r="54" spans="1:1" x14ac:dyDescent="0.35">
      <c r="A54" t="s">
        <v>139</v>
      </c>
    </row>
    <row r="55" spans="1:1" x14ac:dyDescent="0.35">
      <c r="A55" t="s">
        <v>140</v>
      </c>
    </row>
    <row r="56" spans="1:1" x14ac:dyDescent="0.35">
      <c r="A56" t="s">
        <v>141</v>
      </c>
    </row>
    <row r="57" spans="1:1" x14ac:dyDescent="0.35">
      <c r="A57" t="s">
        <v>142</v>
      </c>
    </row>
    <row r="82" spans="18:18" x14ac:dyDescent="0.35">
      <c r="R82">
        <f>Lähtötiedot_kustannukset!B18</f>
        <v>44</v>
      </c>
    </row>
  </sheetData>
  <phoneticPr fontId="7" type="noConversion"/>
  <pageMargins left="0.7" right="0.7" top="0.75" bottom="0.75" header="0.3" footer="0.3"/>
  <pageSetup paperSize="9" orientation="portrait"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DB2F7-B24B-4529-8C4D-B973C81A1B69}">
  <dimension ref="A1:E20"/>
  <sheetViews>
    <sheetView workbookViewId="0">
      <selection activeCell="B5" sqref="B5"/>
    </sheetView>
  </sheetViews>
  <sheetFormatPr defaultRowHeight="14.5" x14ac:dyDescent="0.35"/>
  <cols>
    <col min="1" max="1" width="71.36328125" customWidth="1"/>
    <col min="2" max="2" width="28.54296875" customWidth="1"/>
    <col min="3" max="3" width="20.7265625" customWidth="1"/>
    <col min="4" max="4" width="27.7265625" customWidth="1"/>
    <col min="5" max="5" width="23.36328125" customWidth="1"/>
  </cols>
  <sheetData>
    <row r="1" spans="1:5" ht="18.5" x14ac:dyDescent="0.45">
      <c r="A1" s="47" t="s">
        <v>109</v>
      </c>
    </row>
    <row r="3" spans="1:5" ht="18.5" x14ac:dyDescent="0.45">
      <c r="A3" s="3" t="s">
        <v>36</v>
      </c>
      <c r="B3" s="3" t="s">
        <v>87</v>
      </c>
      <c r="C3" s="3" t="s">
        <v>88</v>
      </c>
      <c r="D3" s="3" t="s">
        <v>89</v>
      </c>
      <c r="E3" s="3" t="s">
        <v>91</v>
      </c>
    </row>
    <row r="4" spans="1:5" ht="18.5" x14ac:dyDescent="0.45">
      <c r="A4" s="3" t="s">
        <v>100</v>
      </c>
      <c r="B4" s="3">
        <v>60</v>
      </c>
      <c r="C4" s="3">
        <v>5000</v>
      </c>
      <c r="D4" s="3">
        <f>B4*C4</f>
        <v>300000</v>
      </c>
      <c r="E4" s="3" t="s">
        <v>92</v>
      </c>
    </row>
    <row r="6" spans="1:5" x14ac:dyDescent="0.35">
      <c r="A6" t="s">
        <v>133</v>
      </c>
      <c r="C6" s="75" t="s">
        <v>104</v>
      </c>
    </row>
    <row r="7" spans="1:5" x14ac:dyDescent="0.35">
      <c r="A7" t="s">
        <v>134</v>
      </c>
    </row>
    <row r="8" spans="1:5" x14ac:dyDescent="0.35">
      <c r="A8" t="s">
        <v>132</v>
      </c>
    </row>
    <row r="14" spans="1:5" x14ac:dyDescent="0.35">
      <c r="C14" s="77"/>
    </row>
    <row r="16" spans="1:5" x14ac:dyDescent="0.35">
      <c r="C16" s="81"/>
      <c r="D16" s="79"/>
    </row>
    <row r="17" spans="3:4" x14ac:dyDescent="0.35">
      <c r="C17" s="80"/>
      <c r="D17" s="79"/>
    </row>
    <row r="18" spans="3:4" x14ac:dyDescent="0.35">
      <c r="C18" s="80"/>
      <c r="D18" s="79"/>
    </row>
    <row r="19" spans="3:4" x14ac:dyDescent="0.35">
      <c r="C19" s="80"/>
      <c r="D19" s="79"/>
    </row>
    <row r="20" spans="3:4" x14ac:dyDescent="0.35">
      <c r="C20" s="80"/>
      <c r="D20" s="79"/>
    </row>
  </sheetData>
  <hyperlinks>
    <hyperlink ref="C6" r:id="rId1" xr:uid="{CE892A3B-A7B5-498B-B284-674D5A76E18E}"/>
  </hyperlinks>
  <pageMargins left="0.7" right="0.7" top="0.75" bottom="0.75" header="0.3" footer="0.3"/>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Asiakirja" ma:contentTypeID="0x01010024BBB979005734498098A7DFC811C06F" ma:contentTypeVersion="13" ma:contentTypeDescription="Luo uusi asiakirja." ma:contentTypeScope="" ma:versionID="f39088c465e061e056fa3515176ed768">
  <xsd:schema xmlns:xsd="http://www.w3.org/2001/XMLSchema" xmlns:xs="http://www.w3.org/2001/XMLSchema" xmlns:p="http://schemas.microsoft.com/office/2006/metadata/properties" xmlns:ns2="daae9131-4000-4728-bddc-908f8615d2f8" xmlns:ns3="4a8e9d7e-bebb-41a3-a9bb-02d1a0b554f4" targetNamespace="http://schemas.microsoft.com/office/2006/metadata/properties" ma:root="true" ma:fieldsID="7e09fa17b651b30572d86459e05d9e7e" ns2:_="" ns3:_="">
    <xsd:import namespace="daae9131-4000-4728-bddc-908f8615d2f8"/>
    <xsd:import namespace="4a8e9d7e-bebb-41a3-a9bb-02d1a0b554f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ae9131-4000-4728-bddc-908f8615d2f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Kuvien tunnisteet" ma:readOnly="false" ma:fieldId="{5cf76f15-5ced-4ddc-b409-7134ff3c332f}" ma:taxonomyMulti="true" ma:sspId="b01726c3-d2e9-4678-ba3a-dcee94d8fe89"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8e9d7e-bebb-41a3-a9bb-02d1a0b554f4"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63992583-3e33-4420-a5f9-9f99120bb9ff}" ma:internalName="TaxCatchAll" ma:showField="CatchAllData" ma:web="4a8e9d7e-bebb-41a3-a9bb-02d1a0b554f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aae9131-4000-4728-bddc-908f8615d2f8">
      <Terms xmlns="http://schemas.microsoft.com/office/infopath/2007/PartnerControls"/>
    </lcf76f155ced4ddcb4097134ff3c332f>
    <TaxCatchAll xmlns="4a8e9d7e-bebb-41a3-a9bb-02d1a0b554f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3F14587-F82F-4B0F-BE44-222BDE7774C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ae9131-4000-4728-bddc-908f8615d2f8"/>
    <ds:schemaRef ds:uri="4a8e9d7e-bebb-41a3-a9bb-02d1a0b554f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8C89EF4-7870-4D3A-820D-CD094EE02330}">
  <ds:schemaRefs>
    <ds:schemaRef ds:uri="http://schemas.microsoft.com/office/2006/metadata/properties"/>
    <ds:schemaRef ds:uri="http://schemas.microsoft.com/office/infopath/2007/PartnerControls"/>
    <ds:schemaRef ds:uri="daae9131-4000-4728-bddc-908f8615d2f8"/>
    <ds:schemaRef ds:uri="4a8e9d7e-bebb-41a3-a9bb-02d1a0b554f4"/>
  </ds:schemaRefs>
</ds:datastoreItem>
</file>

<file path=customXml/itemProps3.xml><?xml version="1.0" encoding="utf-8"?>
<ds:datastoreItem xmlns:ds="http://schemas.openxmlformats.org/officeDocument/2006/customXml" ds:itemID="{47A7E2E5-37FB-435A-B730-CCFA45B186F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4</vt:i4>
      </vt:variant>
      <vt:variant>
        <vt:lpstr>Kaaviot</vt:lpstr>
      </vt:variant>
      <vt:variant>
        <vt:i4>1</vt:i4>
      </vt:variant>
    </vt:vector>
  </HeadingPairs>
  <TitlesOfParts>
    <vt:vector size="5" baseType="lpstr">
      <vt:lpstr>Ohje työkirjan käyttöön</vt:lpstr>
      <vt:lpstr>Kassavirta_paju-apilakomposti</vt:lpstr>
      <vt:lpstr>Lähtötiedot_kustannukset</vt:lpstr>
      <vt:lpstr>Lähtötiedot_tuotot</vt:lpstr>
      <vt:lpstr>Kaavio1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Katri Juva</cp:lastModifiedBy>
  <cp:revision/>
  <dcterms:created xsi:type="dcterms:W3CDTF">2026-01-22T11:08:45Z</dcterms:created>
  <dcterms:modified xsi:type="dcterms:W3CDTF">2026-10-07T12:17:12Z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0x01010024BBB979005734498098A7DFC811C06F</vt:lpwstr>
  </property>
  <property fmtid="{D5CDD505-2E9C-101B-9397-08002B2CF9AE}" pid="3" name="MediaServiceImageTags">
    <vt:lpwstr/>
  </property>
</Properties>
</file>